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ate1904="1" updateLinks="always" codeName="Denne_projektmappe" autoCompressPictures="0" defaultThemeVersion="124226"/>
  <mc:AlternateContent xmlns:mc="http://schemas.openxmlformats.org/markup-compatibility/2006">
    <mc:Choice Requires="x15">
      <x15ac:absPath xmlns:x15ac="http://schemas.microsoft.com/office/spreadsheetml/2010/11/ac" url="/Users/tove/Documents/Kurser/Budgetkursus/2024/"/>
    </mc:Choice>
  </mc:AlternateContent>
  <xr:revisionPtr revIDLastSave="0" documentId="8_{BDBE797C-C9F6-4642-A3FA-CF9AD4ECFF10}" xr6:coauthVersionLast="47" xr6:coauthVersionMax="47" xr10:uidLastSave="{00000000-0000-0000-0000-000000000000}"/>
  <bookViews>
    <workbookView xWindow="0" yWindow="500" windowWidth="27940" windowHeight="17500" tabRatio="705" activeTab="2" xr2:uid="{00000000-000D-0000-FFFF-FFFF00000000}"/>
  </bookViews>
  <sheets>
    <sheet name="Kvikvejledning" sheetId="62" r:id="rId1"/>
    <sheet name="Gode råd til check" sheetId="64" r:id="rId2"/>
    <sheet name="SatsBilag" sheetId="55" r:id="rId3"/>
    <sheet name="Forside" sheetId="1" r:id="rId4"/>
    <sheet name="Hovedskema" sheetId="5" r:id="rId5"/>
    <sheet name="Aarsnorm" sheetId="56" state="hidden" r:id="rId6"/>
    <sheet name="Statstilskud" sheetId="8" r:id="rId7"/>
    <sheet name="Skolepenge, pasningsordning." sheetId="12" r:id="rId8"/>
    <sheet name="lon undervisning" sheetId="51" r:id="rId9"/>
    <sheet name="Lon pæd., TAP mm" sheetId="52" r:id="rId10"/>
    <sheet name="Undervisning-SFO udgifter" sheetId="20" r:id="rId11"/>
    <sheet name="Heltids SFO" sheetId="63" r:id="rId12"/>
    <sheet name="Daginstitution" sheetId="36" r:id="rId13"/>
    <sheet name="Ejendom" sheetId="24" r:id="rId14"/>
    <sheet name="Skolemadsordning" sheetId="23" r:id="rId15"/>
    <sheet name="Administration" sheetId="32" r:id="rId16"/>
    <sheet name="Prio-renter" sheetId="28" r:id="rId17"/>
    <sheet name="Resultat " sheetId="2" state="hidden" r:id="rId18"/>
    <sheet name="Grundlon" sheetId="53" r:id="rId19"/>
    <sheet name="Prognose" sheetId="3" r:id="rId20"/>
    <sheet name="Ark1" sheetId="59" r:id="rId21"/>
    <sheet name="H2.Aktuel år" sheetId="47" state="hidden" r:id="rId22"/>
    <sheet name="Ark2" sheetId="60" r:id="rId23"/>
    <sheet name="Ark3" sheetId="61" r:id="rId24"/>
  </sheets>
  <externalReferences>
    <externalReference r:id="rId25"/>
    <externalReference r:id="rId26"/>
    <externalReference r:id="rId27"/>
    <externalReference r:id="rId28"/>
    <externalReference r:id="rId29"/>
    <externalReference r:id="rId30"/>
    <externalReference r:id="rId31"/>
  </externalReferences>
  <definedNames>
    <definedName name="_SFO1" localSheetId="18">[1]SatsBilag!$C$36</definedName>
    <definedName name="_Udskriftsområde" localSheetId="9">'Lon pæd., TAP mm'!$A$6:$BI$45</definedName>
    <definedName name="_Udskriftsområde" localSheetId="8">'lon undervisning'!$A$3:$AC$52</definedName>
    <definedName name="AER" localSheetId="18">[1]SatsBilag!$C$40</definedName>
    <definedName name="AER">SatsBilag!$B$28</definedName>
    <definedName name="AER_1">SatsBilag!$C$28</definedName>
    <definedName name="arbtidsnorm" localSheetId="18">[1]SatsBilag!$A$49:$I$57</definedName>
    <definedName name="ATP" localSheetId="18">[1]SatsBilag!$C$14</definedName>
    <definedName name="ATP">SatsBilag!$B$13</definedName>
    <definedName name="ATP_1">SatsBilag!$C$13</definedName>
    <definedName name="ATP_A" localSheetId="18">[1]SatsBilag!$C$15</definedName>
    <definedName name="ATP_B" localSheetId="18">[1]SatsBilag!$C$14</definedName>
    <definedName name="Barsel" localSheetId="18">[1]SatsBilag!$C$43</definedName>
    <definedName name="BarselBidr">SatsBilag!$B$30</definedName>
    <definedName name="BarselBidr_1">SatsBilag!$C$30</definedName>
    <definedName name="basistabel">Grundlon!$A$63:$G$70</definedName>
    <definedName name="basistabel12">[2]Grundlon12!$A$59:$G$66</definedName>
    <definedName name="budgetår" localSheetId="18">[3]SatsBilag!$D$4</definedName>
    <definedName name="budgetår">Forside!$B$6</definedName>
    <definedName name="Bygtilsk">SatsBilag!$B$25</definedName>
    <definedName name="Bygtilsk_1">SatsBilag!$C$25</definedName>
    <definedName name="Bygtilskud" localSheetId="18">[1]SatsBilag!$C$32</definedName>
    <definedName name="Bygtilskud01" localSheetId="18">[1]SatsBilag!$C$31</definedName>
    <definedName name="bygtilskud1" localSheetId="18">[1]SatsBilag!$C$33</definedName>
    <definedName name="bytom" localSheetId="18">Grundlon!bytom</definedName>
    <definedName name="bytom">[4]!bytom</definedName>
    <definedName name="bytom_12" localSheetId="18">Grundlon!bytom_12</definedName>
    <definedName name="bytom_14" localSheetId="18">Grundlon!bytom_14</definedName>
    <definedName name="bytom_35" localSheetId="18">Grundlon!bytom_35</definedName>
    <definedName name="Da2sprTax">SatsBilag!$B$45</definedName>
    <definedName name="Da2sprTax_1">SatsBilag!$C$45</definedName>
    <definedName name="Da2uvaa1" localSheetId="18">[1]SatsBilag!$C$23</definedName>
    <definedName name="Da2uvaa2" localSheetId="18">[1]SatsBilag!$C$24</definedName>
    <definedName name="DFkont" localSheetId="18">[1]SatsBilag!$C$44</definedName>
    <definedName name="DFkont">SatsBilag!$B$31</definedName>
    <definedName name="DFkont_1">SatsBilag!$C$31</definedName>
    <definedName name="DFRegnÅr" localSheetId="18">[3]SatsBilag!$M$1</definedName>
    <definedName name="elev0o" localSheetId="18">[3]SatsBilag!$C$20</definedName>
    <definedName name="elev0u" localSheetId="18">[3]SatsBilag!$C$19</definedName>
    <definedName name="elev1001" localSheetId="18">[3]SatsBilag!$C$21</definedName>
    <definedName name="elev1001feb" localSheetId="18">[3]SatsBilag!$C$22</definedName>
    <definedName name="elev101" localSheetId="18">[3]SatsBilag!$E$21</definedName>
    <definedName name="elev101feb" localSheetId="18">[3]SatsBilag!$E$22</definedName>
    <definedName name="elev102" localSheetId="18">[3]SatsBilag!$F$21</definedName>
    <definedName name="elev10kl">Forside!$G$34</definedName>
    <definedName name="elev10kl_1">Forside!$E$34</definedName>
    <definedName name="elev10kl_2">Forside!$H$34</definedName>
    <definedName name="elev10klfeb">Forside!$G$35</definedName>
    <definedName name="elev10klfeb_1">Forside!$E$35</definedName>
    <definedName name="elev10klfeb_2">Forside!$H$35</definedName>
    <definedName name="elev1o" localSheetId="18">[3]SatsBilag!$E$20</definedName>
    <definedName name="elev1u" localSheetId="18">[3]SatsBilag!$E$19</definedName>
    <definedName name="elev2o" localSheetId="18">[3]SatsBilag!$F$20</definedName>
    <definedName name="elev2u" localSheetId="18">[3]SatsBilag!$F$19</definedName>
    <definedName name="elevo13">Forside!$G$33</definedName>
    <definedName name="elevo13_1">Forside!$E$33</definedName>
    <definedName name="elevo13_2">Forside!$H$33</definedName>
    <definedName name="ELEVPROGNOSE">Forside!$C$16</definedName>
    <definedName name="Elevtal">Forside!$G$31</definedName>
    <definedName name="elevtal_1">Forside!$E$31</definedName>
    <definedName name="elevtal_2">Forside!$H$31</definedName>
    <definedName name="elevtal01" localSheetId="18">[3]SatsBilag!$C$18</definedName>
    <definedName name="elevtal1" localSheetId="18">[3]SatsBilag!$E$18</definedName>
    <definedName name="elevtal2" localSheetId="18">[3]SatsBilag!$F$18</definedName>
    <definedName name="elevtal3" localSheetId="18">[3]SatsBilag!$G$18</definedName>
    <definedName name="elevu13">Forside!$G$32</definedName>
    <definedName name="elevu13_1">Forside!$E$32</definedName>
    <definedName name="elevu13_2">Forside!$H$32</definedName>
    <definedName name="Export_file" localSheetId="18">Grundlon!$J$2:$L$273</definedName>
    <definedName name="FaeUdgSmaa">SatsBilag!$B$18</definedName>
    <definedName name="FaeUdgSmaa_1">SatsBilag!$C$18</definedName>
    <definedName name="FaeUdgStore">SatsBilag!$B$19</definedName>
    <definedName name="FaeUdgStore_1">SatsBilag!$C$19</definedName>
    <definedName name="flex00" localSheetId="18">[1]SatsBilag!$C$41</definedName>
    <definedName name="flex01" localSheetId="18">[1]SatsBilag!$C$42</definedName>
    <definedName name="FlexBidr">SatsBilag!$B$29</definedName>
    <definedName name="FlexBidr_1">SatsBilag!$C$29</definedName>
    <definedName name="FlydTill">SatsBilag!$B$24</definedName>
    <definedName name="FlydTill_1">SatsBilag!$C$24</definedName>
    <definedName name="fremskrivning" localSheetId="18">[1]SatsBilag!$C$46</definedName>
    <definedName name="fremskrivning">SatsBilag!$B$41</definedName>
    <definedName name="FremskrStatst">SatsBilag!$B$43</definedName>
    <definedName name="FremskrStatst_1">SatsBilag!$C$43</definedName>
    <definedName name="fridageGrå_40" localSheetId="18">Grundlon!fridageGrå_40</definedName>
    <definedName name="fridageGrå_41" localSheetId="18">Grundlon!fridageGrå_41</definedName>
    <definedName name="Ftakst1" localSheetId="18">[1]SatsBilag!$G$31</definedName>
    <definedName name="Ftakst2" localSheetId="18">[1]SatsBilag!$G$32</definedName>
    <definedName name="GLøn1" localSheetId="18">[1]SatsBilag!$H$9</definedName>
    <definedName name="GLøn2" localSheetId="18">[1]SatsBilag!$H$10</definedName>
    <definedName name="Gr.liv" localSheetId="18">[1]SatsBilag!$C$16</definedName>
    <definedName name="Gr.liv">SatsBilag!$B$15</definedName>
    <definedName name="Gr.liv_1">SatsBilag!$C$15</definedName>
    <definedName name="Gr.livAndre" localSheetId="18">[1]SatsBilag!$C$17</definedName>
    <definedName name="Gr.livAndre">SatsBilag!$B$16</definedName>
    <definedName name="Gr.livAndre_1">SatsBilag!$C$16</definedName>
    <definedName name="grundløn" localSheetId="18">[3]SatsBilag!$A$4:$G$64</definedName>
    <definedName name="grundløn2" localSheetId="18">[3]SatsBilag!$A$77:$G$84</definedName>
    <definedName name="GrundTilsk">SatsBilag!$B$17</definedName>
    <definedName name="Grundtilsk_1">SatsBilag!$C$17</definedName>
    <definedName name="gruppe">#REF!</definedName>
    <definedName name="InklGrund">SatsBilag!$B$23</definedName>
    <definedName name="InklGrund_1">SatsBilag!$C$23</definedName>
    <definedName name="InklPrElev">SatsBilag!#REF!</definedName>
    <definedName name="InklPrElev_1">SatsBilag!#REF!</definedName>
    <definedName name="inklusion">#REF!</definedName>
    <definedName name="Kaskrent" localSheetId="18">[3]SatsBilag!$C$104</definedName>
    <definedName name="kolonne">#REF!</definedName>
    <definedName name="Kost" localSheetId="18">[1]SatsBilag!$C$35</definedName>
    <definedName name="Kost1" localSheetId="18">[1]SatsBilag!$C$34</definedName>
    <definedName name="KostTilsk">SatsBilag!#REF!</definedName>
    <definedName name="Kosttilsk_1">SatsBilag!#REF!</definedName>
    <definedName name="lmdr">[5]LonspecLeder!$I$5:$J$16</definedName>
    <definedName name="Lønfremskivning">SatsBilag!$B$42</definedName>
    <definedName name="Lønregl" localSheetId="18">[1]SatsBilag!$C$46</definedName>
    <definedName name="mdr">[5]Lonspec!$I$5:$J$16</definedName>
    <definedName name="mellemsmå">Hovedskema!$D$107:$D$108</definedName>
    <definedName name="mellemstore">Hovedskema!$F$107:$G$108</definedName>
    <definedName name="omraadetabel">Grundlon!$A$75:$F$82</definedName>
    <definedName name="omraadetabel12">[2]Grundlon12!$A$71:$F$78</definedName>
    <definedName name="opqsøg" hidden="1">{#N/A,#N/A,FALSE,"Månedsaktivitetsplan"}</definedName>
    <definedName name="opsøg" hidden="1">{#N/A,#N/A,FALSE,"Månedsaktivitetsplan"}</definedName>
    <definedName name="PaedMedhTax">SatsBilag!#REF!</definedName>
    <definedName name="PaedMedhTax_1">SatsBilag!#REF!</definedName>
    <definedName name="Paednorm" localSheetId="18">[3]SatsBilag!$D$21</definedName>
    <definedName name="Paedpens" localSheetId="18">[3]SatsBilag!$N$29</definedName>
    <definedName name="PrakMedhTax">SatsBilag!$B$46</definedName>
    <definedName name="PrakMedhTax_1">SatsBilag!$C$46</definedName>
    <definedName name="Praktiskmhjaa1" localSheetId="18">[1]SatsBilag!$C$25</definedName>
    <definedName name="Praktiskmhjaa2" localSheetId="18">[1]SatsBilag!$C$26</definedName>
    <definedName name="Prc">SatsBilag!$B$9</definedName>
    <definedName name="Prc_1">SatsBilag!$C$9</definedName>
    <definedName name="prctregl09" localSheetId="18">[1]SatsBilag!$N$13</definedName>
    <definedName name="prctregl10" localSheetId="18">[1]SatsBilag!$L$22</definedName>
    <definedName name="prctregl3" localSheetId="18">[1]SatsBilag!$L$17</definedName>
    <definedName name="prctregl4" localSheetId="18">[1]SatsBilag!$L$20</definedName>
    <definedName name="PrcAar">SatsBilag!$B$12</definedName>
    <definedName name="PrcAar_1">SatsBilag!$C$12</definedName>
    <definedName name="Procentregulering" localSheetId="18">[1]SatsBilag!$C$10</definedName>
    <definedName name="Procentregulering" hidden="1">[6]aarslon!$A$1</definedName>
    <definedName name="procentregulering2" localSheetId="18">[1]SatsBilag!$C$13</definedName>
    <definedName name="Procentreguleringapril" localSheetId="18">[1]SatsBilag!$C$12</definedName>
    <definedName name="region">Forside!$G$12</definedName>
    <definedName name="SFO" localSheetId="18">[1]SatsBilag!$C$37</definedName>
    <definedName name="SFOI" localSheetId="18">[1]SatsBilag!$C$38</definedName>
    <definedName name="SFOtilsk">SatsBilag!$B$26</definedName>
    <definedName name="SFOtilsk_1">SatsBilag!$C$26</definedName>
    <definedName name="skalalontabel">Grundlon!$A$4:$G$62</definedName>
    <definedName name="skole">Forside!$B$5</definedName>
    <definedName name="skoleår" localSheetId="18">[3]SatsBilag!$F$4</definedName>
    <definedName name="skoleår" localSheetId="2">Forside!$G$4</definedName>
    <definedName name="skoleår2" localSheetId="18">[3]SatsBilag!$F$5</definedName>
    <definedName name="skoleår2" localSheetId="2">Forside!$G$5</definedName>
    <definedName name="specuv" localSheetId="18">[1]SatsBilag!$C$27</definedName>
    <definedName name="SpecUvTax_1">SatsBilag!#REF!</definedName>
    <definedName name="Specuvaa1" localSheetId="18">[1]SatsBilag!$C$19</definedName>
    <definedName name="Specuvaa2" localSheetId="18">[1]SatsBilag!$C$20</definedName>
    <definedName name="SpevUvTax">SatsBilag!#REF!</definedName>
    <definedName name="Sprogstimul" localSheetId="18">[1]SatsBilag!$C$39</definedName>
    <definedName name="sprogstimul01" localSheetId="18">[3]SatsBilag!$C$27</definedName>
    <definedName name="sprogstimul1" localSheetId="18">[3]SatsBilag!$E$27</definedName>
    <definedName name="sprogstimul2" localSheetId="18">[3]SatsBilag!$F$27</definedName>
    <definedName name="Statstilskud" localSheetId="18">[1]SatsBilag!$C$30</definedName>
    <definedName name="StatstilskudBr" localSheetId="18">[1]SatsBilag!$C$29</definedName>
    <definedName name="sted">Grundlon!$J$2:$N$273</definedName>
    <definedName name="stedomr">Forside!$F$12</definedName>
    <definedName name="stedtillægsområde" localSheetId="18">[1]SatsBilag!$C$8</definedName>
    <definedName name="stedtillægsområde">Forside!$F$12</definedName>
    <definedName name="stpaedaa1" localSheetId="18">[1]SatsBilag!$C$21</definedName>
    <definedName name="stpaedaa2" localSheetId="18">[1]SatsBilag!$C$22</definedName>
    <definedName name="str">#REF!</definedName>
    <definedName name="tabel">[7]Grundlon!$A$4:$G$64</definedName>
    <definedName name="Tilsyn1">SatsBilag!$B$37</definedName>
    <definedName name="Tilsyn2">SatsBilag!$B$38</definedName>
    <definedName name="Tilsyn3">SatsBilag!$B$39</definedName>
    <definedName name="Tilsyn4">SatsBilag!$B$40</definedName>
    <definedName name="U.l" localSheetId="18">[1]SatsBilag!$C$18</definedName>
    <definedName name="_xlnm.Print_Area" localSheetId="13">Ejendom!$A$1:$I$98</definedName>
    <definedName name="_xlnm.Print_Area" localSheetId="3">Forside!$B$2:$H$39</definedName>
    <definedName name="_xlnm.Print_Area" localSheetId="21">'H2.Aktuel år'!$A$2:$I$61</definedName>
    <definedName name="_xlnm.Print_Area" localSheetId="4">Hovedskema!$A$1:$H$133</definedName>
    <definedName name="_xlnm.Print_Area" localSheetId="0">Kvikvejledning!$A$2:$J$50</definedName>
    <definedName name="_xlnm.Print_Area" localSheetId="8">'lon undervisning'!$A$2:$AC$102</definedName>
    <definedName name="_xlnm.Print_Area" localSheetId="16">'Prio-renter'!$A$2:$K$27</definedName>
    <definedName name="_xlnm.Print_Area" localSheetId="19">Prognose!$A$1:$F$52</definedName>
    <definedName name="_xlnm.Print_Area" localSheetId="17">'Resultat '!$A$3:$F$93</definedName>
    <definedName name="_xlnm.Print_Area" localSheetId="2">SatsBilag!$A$2:$D$51</definedName>
    <definedName name="_xlnm.Print_Area" localSheetId="7">'Skolepenge, pasningsordning.'!$A$1:$J$148</definedName>
    <definedName name="_xlnm.Print_Area" localSheetId="6">Statstilskud!$A$2:$K$131</definedName>
    <definedName name="_xlnm.Print_Area" localSheetId="10">'Undervisning-SFO udgifter'!$A$3:$F$130</definedName>
    <definedName name="Utakst1" localSheetId="18">[1]SatsBilag!$G$34</definedName>
    <definedName name="Utakst2" localSheetId="18">[1]SatsBilag!$G$35</definedName>
    <definedName name="Utakst3" localSheetId="18">[1]SatsBilag!$G$36</definedName>
    <definedName name="UvTax10kl">SatsBilag!$B$22</definedName>
    <definedName name="UvTax10kl_1">SatsBilag!$C$22</definedName>
    <definedName name="UvTaxO13">SatsBilag!$B$21</definedName>
    <definedName name="UvTaxO13_1">SatsBilag!$C$21</definedName>
    <definedName name="UvTaxU13">SatsBilag!$B$20</definedName>
    <definedName name="UvTaxU13_1">SatsBilag!$C$20</definedName>
    <definedName name="Vik.kas" localSheetId="18">[1]SatsBilag!$C$45</definedName>
    <definedName name="Vik.kas">SatsBilag!$B$36</definedName>
    <definedName name="Vik.kas_1">SatsBilag!$C$36</definedName>
    <definedName name="wrn.Årsplan." hidden="1">{#N/A,#N/A,FALSE,"Månedsaktivitetsplan"}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55" l="1"/>
  <c r="A10" i="55"/>
  <c r="CG46" i="52" l="1"/>
  <c r="CF46" i="52"/>
  <c r="BZ46" i="52"/>
  <c r="BY46" i="52"/>
  <c r="BM46" i="52"/>
  <c r="BL46" i="52"/>
  <c r="BG46" i="52"/>
  <c r="BF46" i="52"/>
  <c r="AU46" i="52"/>
  <c r="AT46" i="52"/>
  <c r="AI46" i="52"/>
  <c r="AH46" i="52"/>
  <c r="U46" i="52"/>
  <c r="T46" i="52"/>
  <c r="CB46" i="52"/>
  <c r="CC46" i="52"/>
  <c r="CD46" i="52"/>
  <c r="CE46" i="52"/>
  <c r="CA46" i="52"/>
  <c r="BO46" i="52"/>
  <c r="BP46" i="52"/>
  <c r="BQ46" i="52"/>
  <c r="BR46" i="52"/>
  <c r="BS46" i="52"/>
  <c r="BT46" i="52"/>
  <c r="BU46" i="52"/>
  <c r="BV46" i="52"/>
  <c r="BW46" i="52"/>
  <c r="BX46" i="52"/>
  <c r="BN46" i="52"/>
  <c r="BI46" i="52"/>
  <c r="BJ46" i="52"/>
  <c r="BK46" i="52"/>
  <c r="BH46" i="52"/>
  <c r="AW46" i="52"/>
  <c r="AX46" i="52"/>
  <c r="AY46" i="52"/>
  <c r="AZ46" i="52"/>
  <c r="BA46" i="52"/>
  <c r="BB46" i="52"/>
  <c r="BC46" i="52"/>
  <c r="BD46" i="52"/>
  <c r="BE46" i="52"/>
  <c r="AV46" i="52"/>
  <c r="AK46" i="52"/>
  <c r="AL46" i="52"/>
  <c r="AM46" i="52"/>
  <c r="AN46" i="52"/>
  <c r="AO46" i="52"/>
  <c r="AP46" i="52"/>
  <c r="AQ46" i="52"/>
  <c r="AR46" i="52"/>
  <c r="AS46" i="52"/>
  <c r="AJ46" i="52"/>
  <c r="W46" i="52"/>
  <c r="X46" i="52"/>
  <c r="Y46" i="52"/>
  <c r="Z46" i="52"/>
  <c r="AA46" i="52"/>
  <c r="AB46" i="52"/>
  <c r="AC46" i="52"/>
  <c r="AD46" i="52"/>
  <c r="AE46" i="52"/>
  <c r="AF46" i="52"/>
  <c r="AG46" i="52"/>
  <c r="V46" i="52"/>
  <c r="D46" i="52"/>
  <c r="E46" i="52"/>
  <c r="F46" i="52"/>
  <c r="G46" i="52"/>
  <c r="H46" i="52"/>
  <c r="I46" i="52"/>
  <c r="J46" i="52"/>
  <c r="K46" i="52"/>
  <c r="L46" i="52"/>
  <c r="M46" i="52"/>
  <c r="N46" i="52"/>
  <c r="O46" i="52"/>
  <c r="P46" i="52"/>
  <c r="Q46" i="52"/>
  <c r="R46" i="52"/>
  <c r="S46" i="52"/>
  <c r="C46" i="52"/>
  <c r="B14" i="55"/>
  <c r="O9" i="63" l="1"/>
  <c r="O6" i="63"/>
  <c r="A41" i="36"/>
  <c r="E9" i="51" l="1"/>
  <c r="A84" i="64" l="1"/>
  <c r="A79" i="64"/>
  <c r="A21" i="64"/>
  <c r="D59" i="12" l="1"/>
  <c r="D60" i="12"/>
  <c r="S50" i="36"/>
  <c r="T50" i="36" a="1"/>
  <c r="T50" i="36" s="1"/>
  <c r="S51" i="36"/>
  <c r="T51" i="36" a="1"/>
  <c r="T51" i="36" s="1"/>
  <c r="S52" i="36"/>
  <c r="T52" i="36" a="1"/>
  <c r="T52" i="36" s="1"/>
  <c r="S53" i="36"/>
  <c r="T53" i="36" a="1"/>
  <c r="T53" i="36" s="1"/>
  <c r="E114" i="5"/>
  <c r="D114" i="5"/>
  <c r="BO13" i="52"/>
  <c r="A65" i="51"/>
  <c r="A64" i="64" l="1"/>
  <c r="A56" i="64" l="1"/>
  <c r="A55" i="64"/>
  <c r="A51" i="64"/>
  <c r="A25" i="64"/>
  <c r="A24" i="64"/>
  <c r="A70" i="64"/>
  <c r="A68" i="64"/>
  <c r="A67" i="64"/>
  <c r="A46" i="64"/>
  <c r="A44" i="64"/>
  <c r="A43" i="64"/>
  <c r="A38" i="64"/>
  <c r="A14" i="64"/>
  <c r="A15" i="64"/>
  <c r="DE15" i="52"/>
  <c r="DB15" i="52"/>
  <c r="CY15" i="52"/>
  <c r="CV15" i="52"/>
  <c r="CS15" i="52"/>
  <c r="CP17" i="52"/>
  <c r="DE23" i="52"/>
  <c r="CS23" i="52"/>
  <c r="CP23" i="52"/>
  <c r="D108" i="52"/>
  <c r="E108" i="52"/>
  <c r="F108" i="52"/>
  <c r="G108" i="52"/>
  <c r="I108" i="52"/>
  <c r="J108" i="52"/>
  <c r="K108" i="52"/>
  <c r="L108" i="52"/>
  <c r="M108" i="52"/>
  <c r="N108" i="52"/>
  <c r="O108" i="52"/>
  <c r="P108" i="52"/>
  <c r="Q108" i="52"/>
  <c r="R108" i="52"/>
  <c r="S108" i="52"/>
  <c r="T108" i="52"/>
  <c r="U108" i="52"/>
  <c r="V108" i="52"/>
  <c r="W108" i="52"/>
  <c r="X108" i="52"/>
  <c r="Y108" i="52"/>
  <c r="Z108" i="52"/>
  <c r="AA108" i="52"/>
  <c r="AB108" i="52"/>
  <c r="AC108" i="52"/>
  <c r="AD108" i="52"/>
  <c r="AE108" i="52"/>
  <c r="AF108" i="52"/>
  <c r="AG108" i="52"/>
  <c r="AH108" i="52"/>
  <c r="AI108" i="52"/>
  <c r="AJ108" i="52"/>
  <c r="AK108" i="52"/>
  <c r="AL108" i="52"/>
  <c r="AM108" i="52"/>
  <c r="AN108" i="52"/>
  <c r="AO108" i="52"/>
  <c r="AP108" i="52"/>
  <c r="AQ108" i="52"/>
  <c r="AR108" i="52"/>
  <c r="AS108" i="52"/>
  <c r="AT108" i="52"/>
  <c r="AU108" i="52"/>
  <c r="AV108" i="52"/>
  <c r="AW108" i="52"/>
  <c r="AX108" i="52"/>
  <c r="AY108" i="52"/>
  <c r="AZ108" i="52"/>
  <c r="BA108" i="52"/>
  <c r="BB108" i="52"/>
  <c r="BC108" i="52"/>
  <c r="BD108" i="52"/>
  <c r="BE108" i="52"/>
  <c r="BF108" i="52"/>
  <c r="BG108" i="52"/>
  <c r="BH108" i="52"/>
  <c r="BI108" i="52"/>
  <c r="BJ108" i="52"/>
  <c r="BK108" i="52"/>
  <c r="BL108" i="52"/>
  <c r="BM108" i="52"/>
  <c r="BN108" i="52"/>
  <c r="BO108" i="52"/>
  <c r="BP108" i="52"/>
  <c r="BQ108" i="52"/>
  <c r="BR108" i="52"/>
  <c r="BS108" i="52"/>
  <c r="BT108" i="52"/>
  <c r="BU108" i="52"/>
  <c r="BV108" i="52"/>
  <c r="BW108" i="52"/>
  <c r="BX108" i="52"/>
  <c r="BY108" i="52"/>
  <c r="BZ108" i="52"/>
  <c r="CB108" i="52"/>
  <c r="CC108" i="52"/>
  <c r="CD108" i="52"/>
  <c r="CE108" i="52"/>
  <c r="CF108" i="52"/>
  <c r="CG108" i="52"/>
  <c r="D151" i="51"/>
  <c r="F151" i="51"/>
  <c r="H151" i="51"/>
  <c r="I151" i="51"/>
  <c r="J151" i="51"/>
  <c r="K151" i="51"/>
  <c r="L151" i="51"/>
  <c r="M151" i="51"/>
  <c r="N151" i="51"/>
  <c r="O151" i="51"/>
  <c r="P151" i="51"/>
  <c r="Q151" i="51"/>
  <c r="R151" i="51"/>
  <c r="S151" i="51"/>
  <c r="T151" i="51"/>
  <c r="U151" i="51"/>
  <c r="V151" i="51"/>
  <c r="W151" i="51"/>
  <c r="X151" i="51"/>
  <c r="Y151" i="51"/>
  <c r="Z151" i="51"/>
  <c r="AA151" i="51"/>
  <c r="AB151" i="51"/>
  <c r="AC151" i="51"/>
  <c r="C151" i="51"/>
  <c r="E58" i="52"/>
  <c r="A19" i="52"/>
  <c r="A18" i="52"/>
  <c r="AC68" i="51"/>
  <c r="AB68" i="51"/>
  <c r="A42" i="55"/>
  <c r="T59" i="52"/>
  <c r="U59" i="52"/>
  <c r="AH59" i="52"/>
  <c r="AI59" i="52"/>
  <c r="AT59" i="52"/>
  <c r="AU59" i="52"/>
  <c r="BF59" i="52"/>
  <c r="BG59" i="52"/>
  <c r="BL59" i="52"/>
  <c r="BM59" i="52"/>
  <c r="BY59" i="52"/>
  <c r="BZ59" i="52"/>
  <c r="CF59" i="52"/>
  <c r="CG59" i="52"/>
  <c r="H58" i="52"/>
  <c r="I58" i="52"/>
  <c r="J58" i="52"/>
  <c r="K58" i="52"/>
  <c r="L58" i="52"/>
  <c r="M58" i="52"/>
  <c r="N58" i="52"/>
  <c r="O58" i="52"/>
  <c r="P58" i="52"/>
  <c r="Q58" i="52"/>
  <c r="R58" i="52"/>
  <c r="S58" i="52"/>
  <c r="T58" i="52"/>
  <c r="U58" i="52"/>
  <c r="V58" i="52"/>
  <c r="W58" i="52"/>
  <c r="X58" i="52"/>
  <c r="Y58" i="52"/>
  <c r="Z58" i="52"/>
  <c r="AA58" i="52"/>
  <c r="AB58" i="52"/>
  <c r="AC58" i="52"/>
  <c r="AD58" i="52"/>
  <c r="AE58" i="52"/>
  <c r="AF58" i="52"/>
  <c r="AG58" i="52"/>
  <c r="AH58" i="52"/>
  <c r="AI58" i="52"/>
  <c r="AJ58" i="52"/>
  <c r="AK58" i="52"/>
  <c r="AL58" i="52"/>
  <c r="AM58" i="52"/>
  <c r="AN58" i="52"/>
  <c r="AO58" i="52"/>
  <c r="AP58" i="52"/>
  <c r="AQ58" i="52"/>
  <c r="AR58" i="52"/>
  <c r="AS58" i="52"/>
  <c r="AT58" i="52"/>
  <c r="AU58" i="52"/>
  <c r="AV58" i="52"/>
  <c r="AW58" i="52"/>
  <c r="AX58" i="52"/>
  <c r="AY58" i="52"/>
  <c r="AZ58" i="52"/>
  <c r="BA58" i="52"/>
  <c r="BB58" i="52"/>
  <c r="BC58" i="52"/>
  <c r="BD58" i="52"/>
  <c r="BE58" i="52"/>
  <c r="BF58" i="52"/>
  <c r="BG58" i="52"/>
  <c r="BH58" i="52"/>
  <c r="BI58" i="52"/>
  <c r="BJ58" i="52"/>
  <c r="BK58" i="52"/>
  <c r="BL58" i="52"/>
  <c r="BM58" i="52"/>
  <c r="BN58" i="52"/>
  <c r="BO58" i="52"/>
  <c r="BP58" i="52"/>
  <c r="BQ58" i="52"/>
  <c r="BR58" i="52"/>
  <c r="BS58" i="52"/>
  <c r="BT58" i="52"/>
  <c r="BU58" i="52"/>
  <c r="BV58" i="52"/>
  <c r="BW58" i="52"/>
  <c r="BX58" i="52"/>
  <c r="BY58" i="52"/>
  <c r="BZ58" i="52"/>
  <c r="CA58" i="52"/>
  <c r="CB58" i="52"/>
  <c r="CC58" i="52"/>
  <c r="CD58" i="52"/>
  <c r="CE58" i="52"/>
  <c r="CF58" i="52"/>
  <c r="CG58" i="52"/>
  <c r="C58" i="52"/>
  <c r="CU23" i="52" l="1"/>
  <c r="DG23" i="52"/>
  <c r="CX23" i="52"/>
  <c r="DA23" i="52"/>
  <c r="CR23" i="52"/>
  <c r="A13" i="51"/>
  <c r="E20" i="20" l="1"/>
  <c r="G69" i="51"/>
  <c r="I69" i="51"/>
  <c r="J69" i="51"/>
  <c r="K69" i="51"/>
  <c r="L69" i="51"/>
  <c r="M69" i="51"/>
  <c r="N69" i="51"/>
  <c r="O69" i="51"/>
  <c r="P69" i="51"/>
  <c r="Q69" i="51"/>
  <c r="R69" i="51"/>
  <c r="S69" i="51"/>
  <c r="T69" i="51"/>
  <c r="U69" i="51"/>
  <c r="V69" i="51"/>
  <c r="W69" i="51"/>
  <c r="X69" i="51"/>
  <c r="Y69" i="51"/>
  <c r="Z69" i="51"/>
  <c r="AA69" i="51"/>
  <c r="C69" i="51"/>
  <c r="E69" i="51"/>
  <c r="C46" i="51"/>
  <c r="A14" i="51"/>
  <c r="S14" i="36"/>
  <c r="T14" i="36" a="1"/>
  <c r="T14" i="36" s="1"/>
  <c r="S15" i="36"/>
  <c r="T15" i="36" a="1"/>
  <c r="T15" i="36" s="1"/>
  <c r="S16" i="36"/>
  <c r="T16" i="36" a="1"/>
  <c r="T16" i="36" s="1"/>
  <c r="S17" i="36"/>
  <c r="T17" i="36" a="1"/>
  <c r="T17" i="36" s="1"/>
  <c r="G59" i="12"/>
  <c r="H59" i="12"/>
  <c r="G60" i="12"/>
  <c r="H60" i="12"/>
  <c r="H46" i="12"/>
  <c r="H47" i="12"/>
  <c r="H48" i="12"/>
  <c r="D46" i="12"/>
  <c r="G46" i="12" s="1"/>
  <c r="D47" i="12"/>
  <c r="G47" i="12" s="1"/>
  <c r="D48" i="12"/>
  <c r="G48" i="12" s="1"/>
  <c r="H26" i="12"/>
  <c r="H27" i="12"/>
  <c r="H28" i="12"/>
  <c r="D26" i="12"/>
  <c r="G26" i="12" s="1"/>
  <c r="D27" i="12"/>
  <c r="G27" i="12" s="1"/>
  <c r="D28" i="12"/>
  <c r="G28" i="12" s="1"/>
  <c r="H9" i="12"/>
  <c r="H10" i="12"/>
  <c r="H11" i="12"/>
  <c r="D9" i="12"/>
  <c r="G9" i="12" s="1"/>
  <c r="D10" i="12"/>
  <c r="G10" i="12" s="1"/>
  <c r="D11" i="12"/>
  <c r="G11" i="12" s="1"/>
  <c r="B121" i="8"/>
  <c r="B10" i="1"/>
  <c r="B8" i="1"/>
  <c r="B30" i="55"/>
  <c r="B29" i="55"/>
  <c r="B28" i="55"/>
  <c r="B12" i="55"/>
  <c r="A12" i="55"/>
  <c r="A11" i="55"/>
  <c r="A9" i="55"/>
  <c r="A8" i="55"/>
  <c r="B8" i="55"/>
  <c r="A7" i="55"/>
  <c r="A6" i="55"/>
  <c r="A5" i="55" l="1"/>
  <c r="A4" i="55"/>
  <c r="P9" i="63" l="1"/>
  <c r="AH41" i="51"/>
  <c r="AH29" i="51"/>
  <c r="AH15" i="51"/>
  <c r="AH4" i="51"/>
  <c r="D162" i="51"/>
  <c r="E162" i="51"/>
  <c r="F162" i="51"/>
  <c r="G162" i="51"/>
  <c r="H162" i="51"/>
  <c r="I162" i="51"/>
  <c r="J162" i="51"/>
  <c r="K162" i="51"/>
  <c r="L162" i="51"/>
  <c r="M162" i="51"/>
  <c r="N162" i="51"/>
  <c r="O162" i="51"/>
  <c r="P162" i="51"/>
  <c r="Q162" i="51"/>
  <c r="R162" i="51"/>
  <c r="S162" i="51"/>
  <c r="T162" i="51"/>
  <c r="U162" i="51"/>
  <c r="V162" i="51"/>
  <c r="W162" i="51"/>
  <c r="X162" i="51"/>
  <c r="Y162" i="51"/>
  <c r="Z162" i="51"/>
  <c r="AA162" i="51"/>
  <c r="AB162" i="51"/>
  <c r="AC162" i="51"/>
  <c r="D163" i="51"/>
  <c r="E163" i="51"/>
  <c r="F163" i="51"/>
  <c r="G163" i="51"/>
  <c r="H163" i="51"/>
  <c r="I163" i="51"/>
  <c r="J163" i="51"/>
  <c r="K163" i="51"/>
  <c r="L163" i="51"/>
  <c r="M163" i="51"/>
  <c r="N163" i="51"/>
  <c r="O163" i="51"/>
  <c r="P163" i="51"/>
  <c r="Q163" i="51"/>
  <c r="R163" i="51"/>
  <c r="S163" i="51"/>
  <c r="T163" i="51"/>
  <c r="U163" i="51"/>
  <c r="V163" i="51"/>
  <c r="W163" i="51"/>
  <c r="X163" i="51"/>
  <c r="Y163" i="51"/>
  <c r="Z163" i="51"/>
  <c r="AA163" i="51"/>
  <c r="AB163" i="51"/>
  <c r="AC163" i="51"/>
  <c r="C163" i="51"/>
  <c r="C162" i="51"/>
  <c r="BN112" i="52"/>
  <c r="BO112" i="52"/>
  <c r="BP112" i="52"/>
  <c r="BQ112" i="52"/>
  <c r="BR112" i="52"/>
  <c r="BS112" i="52"/>
  <c r="BT112" i="52"/>
  <c r="BU112" i="52"/>
  <c r="BV112" i="52"/>
  <c r="BW112" i="52"/>
  <c r="BX112" i="52"/>
  <c r="BY112" i="52"/>
  <c r="BZ112" i="52"/>
  <c r="CA112" i="52"/>
  <c r="CB112" i="52"/>
  <c r="CC112" i="52"/>
  <c r="CD112" i="52"/>
  <c r="CE112" i="52"/>
  <c r="CF112" i="52"/>
  <c r="CG112" i="52"/>
  <c r="BI112" i="52"/>
  <c r="BJ112" i="52"/>
  <c r="BK112" i="52"/>
  <c r="BL112" i="52"/>
  <c r="BM112" i="52"/>
  <c r="BH112" i="52"/>
  <c r="CV17" i="52"/>
  <c r="CY17" i="52" s="1"/>
  <c r="DB17" i="52" s="1"/>
  <c r="DE17" i="52" s="1"/>
  <c r="CP26" i="52"/>
  <c r="H111" i="52"/>
  <c r="I111" i="52"/>
  <c r="J111" i="52"/>
  <c r="K111" i="52"/>
  <c r="L111" i="52"/>
  <c r="M111" i="52"/>
  <c r="N111" i="52"/>
  <c r="O111" i="52"/>
  <c r="P111" i="52"/>
  <c r="Q111" i="52"/>
  <c r="R111" i="52"/>
  <c r="S111" i="52"/>
  <c r="T111" i="52"/>
  <c r="U111" i="52"/>
  <c r="V111" i="52"/>
  <c r="W111" i="52"/>
  <c r="X111" i="52"/>
  <c r="Y111" i="52"/>
  <c r="Z111" i="52"/>
  <c r="AA111" i="52"/>
  <c r="AB111" i="52"/>
  <c r="AC111" i="52"/>
  <c r="AD111" i="52"/>
  <c r="AE111" i="52"/>
  <c r="AF111" i="52"/>
  <c r="AG111" i="52"/>
  <c r="AH111" i="52"/>
  <c r="AI111" i="52"/>
  <c r="AJ111" i="52"/>
  <c r="AK111" i="52"/>
  <c r="AL111" i="52"/>
  <c r="AM111" i="52"/>
  <c r="AN111" i="52"/>
  <c r="AO111" i="52"/>
  <c r="AP111" i="52"/>
  <c r="AQ111" i="52"/>
  <c r="AR111" i="52"/>
  <c r="AS111" i="52"/>
  <c r="AT111" i="52"/>
  <c r="AU111" i="52"/>
  <c r="AV111" i="52"/>
  <c r="AW111" i="52"/>
  <c r="AX111" i="52"/>
  <c r="AY111" i="52"/>
  <c r="AZ111" i="52"/>
  <c r="BA111" i="52"/>
  <c r="BB111" i="52"/>
  <c r="BC111" i="52"/>
  <c r="BD111" i="52"/>
  <c r="BE111" i="52"/>
  <c r="BF111" i="52"/>
  <c r="BG111" i="52"/>
  <c r="BH111" i="52"/>
  <c r="BI111" i="52"/>
  <c r="BJ111" i="52"/>
  <c r="BK111" i="52"/>
  <c r="BL111" i="52"/>
  <c r="BM111" i="52"/>
  <c r="BN111" i="52"/>
  <c r="BO111" i="52"/>
  <c r="BP111" i="52"/>
  <c r="BQ111" i="52"/>
  <c r="BR111" i="52"/>
  <c r="BS111" i="52"/>
  <c r="BT111" i="52"/>
  <c r="BU111" i="52"/>
  <c r="BV111" i="52"/>
  <c r="BW111" i="52"/>
  <c r="BX111" i="52"/>
  <c r="BY111" i="52"/>
  <c r="BZ111" i="52"/>
  <c r="CA111" i="52"/>
  <c r="CB111" i="52"/>
  <c r="CC111" i="52"/>
  <c r="CD111" i="52"/>
  <c r="CE111" i="52"/>
  <c r="CF111" i="52"/>
  <c r="CG111" i="52"/>
  <c r="D111" i="52"/>
  <c r="E111" i="52"/>
  <c r="F111" i="52"/>
  <c r="G111" i="52"/>
  <c r="C111" i="52"/>
  <c r="CO26" i="52" l="1"/>
  <c r="DG17" i="52"/>
  <c r="CR26" i="52" a="1"/>
  <c r="CR26" i="52" s="1"/>
  <c r="DD17" i="52"/>
  <c r="CX17" i="52"/>
  <c r="DA17" i="52"/>
  <c r="CU17" i="52"/>
  <c r="AH38" i="51"/>
  <c r="F26" i="20"/>
  <c r="E26" i="20"/>
  <c r="F20" i="20"/>
  <c r="F24" i="5"/>
  <c r="D20" i="20"/>
  <c r="A50" i="52"/>
  <c r="A63" i="51"/>
  <c r="K7" i="28"/>
  <c r="K18" i="28"/>
  <c r="K12" i="28"/>
  <c r="D35" i="55" l="1"/>
  <c r="D34" i="55"/>
  <c r="D33" i="55"/>
  <c r="A48" i="52" l="1"/>
  <c r="E46" i="51"/>
  <c r="E48" i="51" s="1"/>
  <c r="E51" i="51"/>
  <c r="F46" i="51"/>
  <c r="G46" i="51"/>
  <c r="F48" i="51"/>
  <c r="G48" i="51"/>
  <c r="G50" i="51"/>
  <c r="F51" i="51"/>
  <c r="G51" i="51"/>
  <c r="I46" i="51"/>
  <c r="I48" i="51"/>
  <c r="H50" i="51"/>
  <c r="H51" i="51" s="1"/>
  <c r="I50" i="51"/>
  <c r="I51" i="51"/>
  <c r="J46" i="51"/>
  <c r="K46" i="51"/>
  <c r="J48" i="51"/>
  <c r="K48" i="51"/>
  <c r="J50" i="51"/>
  <c r="K50" i="51"/>
  <c r="J51" i="51"/>
  <c r="K51" i="51"/>
  <c r="L46" i="51"/>
  <c r="M46" i="51"/>
  <c r="N46" i="51"/>
  <c r="O46" i="51"/>
  <c r="L48" i="51"/>
  <c r="M48" i="51"/>
  <c r="N48" i="51"/>
  <c r="O48" i="51"/>
  <c r="L50" i="51"/>
  <c r="M50" i="51"/>
  <c r="N50" i="51"/>
  <c r="O50" i="51"/>
  <c r="L51" i="51"/>
  <c r="M51" i="51"/>
  <c r="N51" i="51"/>
  <c r="O51" i="51"/>
  <c r="P46" i="51"/>
  <c r="Q46" i="51"/>
  <c r="R46" i="51"/>
  <c r="P48" i="51"/>
  <c r="Q48" i="51"/>
  <c r="R48" i="51"/>
  <c r="P50" i="51"/>
  <c r="Q50" i="51"/>
  <c r="R50" i="51"/>
  <c r="P51" i="51"/>
  <c r="Q51" i="51"/>
  <c r="R51" i="51"/>
  <c r="S46" i="51"/>
  <c r="T46" i="51"/>
  <c r="U46" i="51"/>
  <c r="S48" i="51"/>
  <c r="T48" i="51"/>
  <c r="U48" i="51"/>
  <c r="S50" i="51"/>
  <c r="T50" i="51"/>
  <c r="U50" i="51"/>
  <c r="S51" i="51"/>
  <c r="T51" i="51"/>
  <c r="U51" i="51"/>
  <c r="V46" i="51"/>
  <c r="W46" i="51"/>
  <c r="X46" i="51"/>
  <c r="V48" i="51"/>
  <c r="W48" i="51"/>
  <c r="X48" i="51"/>
  <c r="V50" i="51"/>
  <c r="W50" i="51"/>
  <c r="X50" i="51"/>
  <c r="V51" i="51"/>
  <c r="W51" i="51"/>
  <c r="X51" i="51"/>
  <c r="Z46" i="51"/>
  <c r="Z48" i="51"/>
  <c r="Y50" i="51"/>
  <c r="Y51" i="51" s="1"/>
  <c r="Z50" i="51"/>
  <c r="Z51" i="51"/>
  <c r="AA50" i="51"/>
  <c r="AA51" i="51" s="1"/>
  <c r="D50" i="51"/>
  <c r="D51" i="51" s="1"/>
  <c r="F81" i="5"/>
  <c r="F80" i="5"/>
  <c r="F75" i="5"/>
  <c r="G75" i="5" s="1"/>
  <c r="F70" i="5"/>
  <c r="E163" i="32"/>
  <c r="F163" i="32"/>
  <c r="E158" i="32"/>
  <c r="F158" i="32"/>
  <c r="E133" i="32"/>
  <c r="F133" i="32"/>
  <c r="F139" i="32"/>
  <c r="E143" i="32"/>
  <c r="F143" i="32"/>
  <c r="E147" i="32"/>
  <c r="F147" i="32"/>
  <c r="E151" i="32"/>
  <c r="E130" i="5" s="1"/>
  <c r="F151" i="32"/>
  <c r="A123" i="32"/>
  <c r="F6" i="32"/>
  <c r="E6" i="32"/>
  <c r="E11" i="32"/>
  <c r="F11" i="32"/>
  <c r="E15" i="32"/>
  <c r="F15" i="32"/>
  <c r="E23" i="32"/>
  <c r="F23" i="32"/>
  <c r="E31" i="32"/>
  <c r="F31" i="32"/>
  <c r="E35" i="32"/>
  <c r="F35" i="32"/>
  <c r="E43" i="32"/>
  <c r="F43" i="32"/>
  <c r="E51" i="32"/>
  <c r="F51" i="32"/>
  <c r="E58" i="32"/>
  <c r="F58" i="32"/>
  <c r="E62" i="32"/>
  <c r="F62" i="32"/>
  <c r="E75" i="32"/>
  <c r="F75" i="32"/>
  <c r="E81" i="32"/>
  <c r="F81" i="32"/>
  <c r="E98" i="32"/>
  <c r="F98" i="32"/>
  <c r="F105" i="32"/>
  <c r="E105" i="32"/>
  <c r="E109" i="32"/>
  <c r="F109" i="32"/>
  <c r="E113" i="32"/>
  <c r="F64" i="5" s="1"/>
  <c r="F113" i="32"/>
  <c r="E122" i="32"/>
  <c r="F122" i="32"/>
  <c r="F46" i="23"/>
  <c r="F57" i="5"/>
  <c r="E45" i="23"/>
  <c r="F58" i="5" s="1"/>
  <c r="F45" i="23"/>
  <c r="F40" i="23"/>
  <c r="E40" i="23"/>
  <c r="D40" i="23"/>
  <c r="E39" i="23"/>
  <c r="F39" i="23"/>
  <c r="F35" i="23"/>
  <c r="E35" i="23"/>
  <c r="F10" i="23"/>
  <c r="E15" i="23"/>
  <c r="F15" i="23"/>
  <c r="E19" i="23"/>
  <c r="F19" i="23"/>
  <c r="E27" i="23"/>
  <c r="F27" i="23"/>
  <c r="D27" i="23"/>
  <c r="E10" i="23"/>
  <c r="E65" i="24"/>
  <c r="F174" i="36"/>
  <c r="F151" i="36"/>
  <c r="E151" i="36"/>
  <c r="F144" i="36"/>
  <c r="E144" i="36"/>
  <c r="F137" i="36"/>
  <c r="E137" i="36"/>
  <c r="D126" i="5" s="1"/>
  <c r="F131" i="36"/>
  <c r="E131" i="36"/>
  <c r="F119" i="36"/>
  <c r="E119" i="36"/>
  <c r="F112" i="36"/>
  <c r="E112" i="36"/>
  <c r="F102" i="36"/>
  <c r="E102" i="36"/>
  <c r="F91" i="36"/>
  <c r="E91" i="36"/>
  <c r="F129" i="20"/>
  <c r="E129" i="20"/>
  <c r="F40" i="5" s="1"/>
  <c r="F112" i="20"/>
  <c r="F109" i="20"/>
  <c r="E109" i="20"/>
  <c r="F92" i="20"/>
  <c r="E92" i="20"/>
  <c r="F86" i="20"/>
  <c r="E86" i="20"/>
  <c r="F79" i="20"/>
  <c r="E79" i="20"/>
  <c r="E124" i="5" s="1"/>
  <c r="F72" i="20"/>
  <c r="E72" i="20"/>
  <c r="F63" i="20"/>
  <c r="E63" i="20"/>
  <c r="F59" i="20"/>
  <c r="E59" i="20"/>
  <c r="F52" i="20"/>
  <c r="E52" i="20"/>
  <c r="F39" i="20"/>
  <c r="E39" i="20"/>
  <c r="F32" i="20"/>
  <c r="E32" i="20"/>
  <c r="D124" i="5" l="1"/>
  <c r="F113" i="20"/>
  <c r="D130" i="5"/>
  <c r="F76" i="5"/>
  <c r="D129" i="5"/>
  <c r="E129" i="5"/>
  <c r="D127" i="5"/>
  <c r="E127" i="5"/>
  <c r="E126" i="5"/>
  <c r="F152" i="36"/>
  <c r="E125" i="5"/>
  <c r="A66" i="51"/>
  <c r="AH93" i="52" l="1"/>
  <c r="AI93" i="52"/>
  <c r="U93" i="52"/>
  <c r="T93" i="52"/>
  <c r="U92" i="52"/>
  <c r="T92" i="52"/>
  <c r="AT93" i="52"/>
  <c r="AU93" i="52"/>
  <c r="BG93" i="52"/>
  <c r="BF93" i="52"/>
  <c r="BG92" i="52"/>
  <c r="BF92" i="52"/>
  <c r="BM93" i="52"/>
  <c r="BL93" i="52"/>
  <c r="BM92" i="52"/>
  <c r="BL92" i="52"/>
  <c r="BZ93" i="52"/>
  <c r="BY93" i="52"/>
  <c r="BZ92" i="52"/>
  <c r="BY92" i="52"/>
  <c r="CG92" i="52"/>
  <c r="CG93" i="52"/>
  <c r="CF92" i="52"/>
  <c r="CF93" i="52"/>
  <c r="AC104" i="51"/>
  <c r="AC105" i="51" s="1"/>
  <c r="AB104" i="51"/>
  <c r="AB106" i="51" s="1"/>
  <c r="AK92" i="52"/>
  <c r="AL92" i="52" s="1"/>
  <c r="AM92" i="52" s="1"/>
  <c r="AN92" i="52" s="1"/>
  <c r="AO92" i="52" s="1"/>
  <c r="AP92" i="52" s="1"/>
  <c r="AQ92" i="52" s="1"/>
  <c r="AR92" i="52" s="1"/>
  <c r="AS92" i="52" s="1"/>
  <c r="AK93" i="52"/>
  <c r="AL93" i="52"/>
  <c r="AM93" i="52"/>
  <c r="AN93" i="52"/>
  <c r="AO93" i="52"/>
  <c r="AP93" i="52"/>
  <c r="AQ93" i="52"/>
  <c r="AR93" i="52"/>
  <c r="AS93" i="52"/>
  <c r="AJ93" i="52"/>
  <c r="Y93" i="52"/>
  <c r="Z93" i="52"/>
  <c r="AA93" i="52"/>
  <c r="AB93" i="52"/>
  <c r="AC93" i="52"/>
  <c r="AD93" i="52"/>
  <c r="AE93" i="52"/>
  <c r="AF93" i="52"/>
  <c r="AG93" i="52"/>
  <c r="W93" i="52"/>
  <c r="X93" i="52"/>
  <c r="V93" i="52"/>
  <c r="D92" i="52"/>
  <c r="E92" i="52"/>
  <c r="F92" i="52"/>
  <c r="G92" i="52"/>
  <c r="H92" i="52"/>
  <c r="I92" i="52"/>
  <c r="J92" i="52"/>
  <c r="K92" i="52"/>
  <c r="L92" i="52"/>
  <c r="M92" i="52"/>
  <c r="N92" i="52"/>
  <c r="O92" i="52"/>
  <c r="P92" i="52"/>
  <c r="Q92" i="52"/>
  <c r="R92" i="52"/>
  <c r="S92" i="52"/>
  <c r="AV92" i="52"/>
  <c r="AW92" i="52"/>
  <c r="AX92" i="52"/>
  <c r="AY92" i="52"/>
  <c r="AZ92" i="52"/>
  <c r="BA92" i="52"/>
  <c r="BB92" i="52"/>
  <c r="BC92" i="52"/>
  <c r="BD92" i="52"/>
  <c r="BE92" i="52"/>
  <c r="BH92" i="52"/>
  <c r="BI92" i="52"/>
  <c r="BJ92" i="52"/>
  <c r="BK92" i="52"/>
  <c r="BN92" i="52"/>
  <c r="BO92" i="52"/>
  <c r="BP92" i="52"/>
  <c r="BQ92" i="52"/>
  <c r="BR92" i="52"/>
  <c r="BS92" i="52"/>
  <c r="BT92" i="52"/>
  <c r="BU92" i="52"/>
  <c r="BV92" i="52"/>
  <c r="BW92" i="52"/>
  <c r="BX92" i="52"/>
  <c r="CA92" i="52"/>
  <c r="CB92" i="52"/>
  <c r="CC92" i="52"/>
  <c r="CD92" i="52"/>
  <c r="CE92" i="52"/>
  <c r="D93" i="52"/>
  <c r="E93" i="52"/>
  <c r="F93" i="52"/>
  <c r="G93" i="52"/>
  <c r="H93" i="52"/>
  <c r="I93" i="52"/>
  <c r="J93" i="52"/>
  <c r="K93" i="52"/>
  <c r="L93" i="52"/>
  <c r="M93" i="52"/>
  <c r="N93" i="52"/>
  <c r="O93" i="52"/>
  <c r="P93" i="52"/>
  <c r="Q93" i="52"/>
  <c r="R93" i="52"/>
  <c r="S93" i="52"/>
  <c r="AV93" i="52"/>
  <c r="AW93" i="52"/>
  <c r="AX93" i="52"/>
  <c r="AY93" i="52"/>
  <c r="AZ93" i="52"/>
  <c r="BA93" i="52"/>
  <c r="BB93" i="52"/>
  <c r="BC93" i="52"/>
  <c r="BD93" i="52"/>
  <c r="BE93" i="52"/>
  <c r="BH93" i="52"/>
  <c r="BI93" i="52"/>
  <c r="BJ93" i="52"/>
  <c r="BK93" i="52"/>
  <c r="BN93" i="52"/>
  <c r="BO93" i="52"/>
  <c r="BP93" i="52"/>
  <c r="BQ93" i="52"/>
  <c r="BR93" i="52"/>
  <c r="BS93" i="52"/>
  <c r="BT93" i="52"/>
  <c r="BU93" i="52"/>
  <c r="BV93" i="52"/>
  <c r="BW93" i="52"/>
  <c r="BX93" i="52"/>
  <c r="CA93" i="52"/>
  <c r="CB93" i="52"/>
  <c r="CC93" i="52"/>
  <c r="CD93" i="52"/>
  <c r="CE93" i="52"/>
  <c r="C93" i="52"/>
  <c r="C92" i="52"/>
  <c r="B91" i="52"/>
  <c r="B87" i="52"/>
  <c r="B93" i="52"/>
  <c r="B92" i="52"/>
  <c r="D104" i="51"/>
  <c r="D106" i="51" s="1"/>
  <c r="E104" i="51"/>
  <c r="E106" i="51" s="1"/>
  <c r="F104" i="51"/>
  <c r="F106" i="51" s="1"/>
  <c r="G104" i="51"/>
  <c r="G106" i="51" s="1"/>
  <c r="H104" i="51"/>
  <c r="H105" i="51" s="1"/>
  <c r="I104" i="51"/>
  <c r="I106" i="51" s="1"/>
  <c r="J104" i="51"/>
  <c r="J105" i="51" s="1"/>
  <c r="K104" i="51"/>
  <c r="K106" i="51" s="1"/>
  <c r="L104" i="51"/>
  <c r="L106" i="51" s="1"/>
  <c r="M104" i="51"/>
  <c r="M106" i="51" s="1"/>
  <c r="N104" i="51"/>
  <c r="N106" i="51" s="1"/>
  <c r="O104" i="51"/>
  <c r="O106" i="51" s="1"/>
  <c r="P104" i="51"/>
  <c r="P106" i="51" s="1"/>
  <c r="Q104" i="51"/>
  <c r="Q105" i="51" s="1"/>
  <c r="R104" i="51"/>
  <c r="R105" i="51" s="1"/>
  <c r="S104" i="51"/>
  <c r="S106" i="51" s="1"/>
  <c r="T104" i="51"/>
  <c r="T106" i="51" s="1"/>
  <c r="U104" i="51"/>
  <c r="U106" i="51" s="1"/>
  <c r="V104" i="51"/>
  <c r="V106" i="51" s="1"/>
  <c r="W104" i="51"/>
  <c r="W106" i="51" s="1"/>
  <c r="X104" i="51"/>
  <c r="X105" i="51" s="1"/>
  <c r="Y104" i="51"/>
  <c r="Y105" i="51" s="1"/>
  <c r="Z104" i="51"/>
  <c r="Z106" i="51" s="1"/>
  <c r="AA104" i="51"/>
  <c r="AA105" i="51" s="1"/>
  <c r="C104" i="51"/>
  <c r="C106" i="51" s="1"/>
  <c r="A103" i="51"/>
  <c r="A98" i="51"/>
  <c r="B106" i="51"/>
  <c r="B105" i="51"/>
  <c r="A105" i="51"/>
  <c r="A106" i="51" s="1"/>
  <c r="A107" i="51" s="1"/>
  <c r="A86" i="52"/>
  <c r="A85" i="52"/>
  <c r="A64" i="51"/>
  <c r="A51" i="52"/>
  <c r="A12" i="52"/>
  <c r="A11" i="52"/>
  <c r="A10" i="52"/>
  <c r="B96" i="51"/>
  <c r="B94" i="51"/>
  <c r="B95" i="51"/>
  <c r="B93" i="51"/>
  <c r="B91" i="51"/>
  <c r="B92" i="51"/>
  <c r="A95" i="51"/>
  <c r="A93" i="51"/>
  <c r="A91" i="51"/>
  <c r="A6" i="51"/>
  <c r="A7" i="51"/>
  <c r="A8" i="51"/>
  <c r="A10" i="51"/>
  <c r="CF86" i="52"/>
  <c r="CF85" i="52"/>
  <c r="BY86" i="52"/>
  <c r="BY85" i="52"/>
  <c r="BL86" i="52"/>
  <c r="BL85" i="52"/>
  <c r="BF86" i="52"/>
  <c r="BF85" i="52"/>
  <c r="AT86" i="52"/>
  <c r="AT85" i="52"/>
  <c r="AH86" i="52"/>
  <c r="AH85" i="52"/>
  <c r="T86" i="52"/>
  <c r="T85" i="52"/>
  <c r="F138" i="32"/>
  <c r="F137" i="32"/>
  <c r="F136" i="32"/>
  <c r="K3" i="28"/>
  <c r="M23" i="28"/>
  <c r="L23" i="28"/>
  <c r="M17" i="28"/>
  <c r="L17" i="28"/>
  <c r="M11" i="28"/>
  <c r="L11" i="28"/>
  <c r="M18" i="28"/>
  <c r="L18" i="28"/>
  <c r="M12" i="28"/>
  <c r="L12" i="28"/>
  <c r="M7" i="28"/>
  <c r="L7" i="28"/>
  <c r="L6" i="28"/>
  <c r="M6" i="28"/>
  <c r="F135" i="32" s="1"/>
  <c r="M3" i="28"/>
  <c r="L3" i="28"/>
  <c r="J18" i="28"/>
  <c r="J12" i="28"/>
  <c r="J7" i="28"/>
  <c r="J3" i="28"/>
  <c r="E123" i="5"/>
  <c r="D123" i="5"/>
  <c r="E112" i="5"/>
  <c r="D112" i="5"/>
  <c r="F72" i="5"/>
  <c r="G72" i="5" s="1"/>
  <c r="F125" i="32"/>
  <c r="F97" i="24"/>
  <c r="F88" i="24"/>
  <c r="F81" i="24"/>
  <c r="F76" i="24"/>
  <c r="F71" i="24"/>
  <c r="F50" i="5"/>
  <c r="G50" i="5" s="1"/>
  <c r="F65" i="24"/>
  <c r="F55" i="24"/>
  <c r="F38" i="24"/>
  <c r="F42" i="24"/>
  <c r="F46" i="24"/>
  <c r="F32" i="24"/>
  <c r="F25" i="24"/>
  <c r="F16" i="24"/>
  <c r="F9" i="24"/>
  <c r="F104" i="36"/>
  <c r="F114" i="36" s="1"/>
  <c r="F121" i="36" s="1"/>
  <c r="F133" i="36" s="1"/>
  <c r="F139" i="36" s="1"/>
  <c r="F146" i="36" s="1"/>
  <c r="F131" i="20"/>
  <c r="F130" i="20"/>
  <c r="Q60" i="51"/>
  <c r="R60" i="51"/>
  <c r="S60" i="51"/>
  <c r="T60" i="51"/>
  <c r="U60" i="51"/>
  <c r="V60" i="51"/>
  <c r="W60" i="51"/>
  <c r="T105" i="51" l="1"/>
  <c r="W105" i="51"/>
  <c r="V105" i="51"/>
  <c r="U105" i="51"/>
  <c r="AB105" i="51"/>
  <c r="AB107" i="51" s="1"/>
  <c r="O105" i="51"/>
  <c r="D105" i="51"/>
  <c r="C105" i="51"/>
  <c r="AA106" i="51"/>
  <c r="AC106" i="51"/>
  <c r="AC107" i="51" s="1"/>
  <c r="X106" i="51"/>
  <c r="S105" i="51"/>
  <c r="R106" i="51"/>
  <c r="Q106" i="51"/>
  <c r="Z105" i="51"/>
  <c r="Y106" i="51"/>
  <c r="P105" i="51"/>
  <c r="H106" i="51"/>
  <c r="J106" i="51"/>
  <c r="I105" i="51"/>
  <c r="G105" i="51"/>
  <c r="N105" i="51"/>
  <c r="F105" i="51"/>
  <c r="M105" i="51"/>
  <c r="E105" i="51"/>
  <c r="L105" i="51"/>
  <c r="K105" i="51"/>
  <c r="BZ94" i="52"/>
  <c r="CG94" i="52"/>
  <c r="AI94" i="52"/>
  <c r="AV57" i="52"/>
  <c r="AV56" i="52"/>
  <c r="BG114" i="52"/>
  <c r="BF114" i="52"/>
  <c r="BG113" i="52"/>
  <c r="BF113" i="52"/>
  <c r="BE84" i="52"/>
  <c r="BD84" i="52"/>
  <c r="BC84" i="52"/>
  <c r="BB84" i="52"/>
  <c r="BA84" i="52"/>
  <c r="AZ84" i="52"/>
  <c r="AY84" i="52"/>
  <c r="AX84" i="52"/>
  <c r="AW84" i="52"/>
  <c r="AV84" i="52"/>
  <c r="BD82" i="52"/>
  <c r="BC82" i="52"/>
  <c r="BB82" i="52"/>
  <c r="BA82" i="52"/>
  <c r="AZ82" i="52"/>
  <c r="AY82" i="52"/>
  <c r="AX82" i="52"/>
  <c r="AW82" i="52"/>
  <c r="AV82" i="52"/>
  <c r="BE80" i="52" a="1"/>
  <c r="BE80" i="52" s="1"/>
  <c r="BD80" i="52" a="1"/>
  <c r="BD80" i="52" s="1"/>
  <c r="BC80" i="52" a="1"/>
  <c r="BC80" i="52" s="1"/>
  <c r="BB80" i="52" a="1"/>
  <c r="BB80" i="52" s="1"/>
  <c r="BA80" i="52" a="1"/>
  <c r="BA80" i="52" s="1"/>
  <c r="AZ80" i="52" a="1"/>
  <c r="AZ80" i="52" s="1"/>
  <c r="AY80" i="52" a="1"/>
  <c r="AY80" i="52" s="1"/>
  <c r="AX80" i="52" a="1"/>
  <c r="AX80" i="52" s="1"/>
  <c r="AW80" i="52" a="1"/>
  <c r="AW80" i="52" s="1"/>
  <c r="AV80" i="52" a="1"/>
  <c r="AV80" i="52" s="1"/>
  <c r="BG69" i="52"/>
  <c r="BF69" i="52"/>
  <c r="BE69" i="52"/>
  <c r="BD69" i="52"/>
  <c r="BC69" i="52"/>
  <c r="BB69" i="52"/>
  <c r="BA69" i="52"/>
  <c r="AZ69" i="52"/>
  <c r="AY69" i="52"/>
  <c r="AX69" i="52"/>
  <c r="AW69" i="52"/>
  <c r="AV69" i="52"/>
  <c r="BD77" i="52"/>
  <c r="BA77" i="52"/>
  <c r="BD26" i="52"/>
  <c r="BC26" i="52"/>
  <c r="BB26" i="52"/>
  <c r="BA26" i="52"/>
  <c r="AZ26" i="52"/>
  <c r="BG13" i="52"/>
  <c r="BG107" i="52" s="1"/>
  <c r="BF13" i="52"/>
  <c r="BF107" i="52" s="1"/>
  <c r="BE13" i="52"/>
  <c r="BD13" i="52"/>
  <c r="BC13" i="52"/>
  <c r="BB13" i="52"/>
  <c r="BA13" i="52"/>
  <c r="AZ13" i="52"/>
  <c r="AY13" i="52"/>
  <c r="AX13" i="52"/>
  <c r="AW13" i="52"/>
  <c r="AV13" i="52"/>
  <c r="CC28" i="52"/>
  <c r="CD28" i="52"/>
  <c r="CE28" i="52"/>
  <c r="BP28" i="52"/>
  <c r="BQ28" i="52"/>
  <c r="BR28" i="52"/>
  <c r="BS28" i="52"/>
  <c r="BT28" i="52"/>
  <c r="BU28" i="52"/>
  <c r="BV28" i="52"/>
  <c r="BW28" i="52"/>
  <c r="BX28" i="52"/>
  <c r="BB43" i="52" l="1"/>
  <c r="BD43" i="52"/>
  <c r="AZ43" i="52"/>
  <c r="BA43" i="52"/>
  <c r="BC43" i="52"/>
  <c r="BG110" i="52"/>
  <c r="BG89" i="52"/>
  <c r="BG88" i="52"/>
  <c r="BF89" i="52"/>
  <c r="BF88" i="52"/>
  <c r="F78" i="36"/>
  <c r="BA105" i="52"/>
  <c r="BB105" i="52"/>
  <c r="AZ51" i="52"/>
  <c r="AZ113" i="52" s="1"/>
  <c r="BG94" i="52"/>
  <c r="BC105" i="52"/>
  <c r="BD89" i="52"/>
  <c r="AV89" i="52"/>
  <c r="AV105" i="52"/>
  <c r="BG106" i="52"/>
  <c r="BG100" i="52"/>
  <c r="BF100" i="52"/>
  <c r="BE89" i="52"/>
  <c r="AY106" i="52"/>
  <c r="AY110" i="52"/>
  <c r="AX89" i="52"/>
  <c r="AW89" i="52"/>
  <c r="AZ110" i="52"/>
  <c r="AZ27" i="52"/>
  <c r="BB110" i="52"/>
  <c r="BB51" i="52"/>
  <c r="BB113" i="52" s="1"/>
  <c r="BB77" i="52"/>
  <c r="BG86" i="52"/>
  <c r="BG71" i="52"/>
  <c r="BC110" i="52"/>
  <c r="BB28" i="52"/>
  <c r="BB100" i="52" s="1"/>
  <c r="AV110" i="52"/>
  <c r="BD110" i="52"/>
  <c r="BB78" i="52"/>
  <c r="BC28" i="52"/>
  <c r="BC100" i="52" s="1"/>
  <c r="AW110" i="52"/>
  <c r="BE110" i="52"/>
  <c r="BD78" i="52"/>
  <c r="BD28" i="52"/>
  <c r="BD100" i="52" s="1"/>
  <c r="AX110" i="52"/>
  <c r="BF110" i="52"/>
  <c r="AV77" i="52"/>
  <c r="AX77" i="52"/>
  <c r="BA51" i="52"/>
  <c r="BA113" i="52" s="1"/>
  <c r="AZ77" i="52"/>
  <c r="BG85" i="52"/>
  <c r="BA27" i="52"/>
  <c r="BC51" i="52"/>
  <c r="BC113" i="52" s="1"/>
  <c r="AZ78" i="52"/>
  <c r="AY89" i="52"/>
  <c r="AV101" i="52"/>
  <c r="BD101" i="52"/>
  <c r="BD105" i="52"/>
  <c r="AZ106" i="52"/>
  <c r="BB27" i="52"/>
  <c r="AZ28" i="52"/>
  <c r="AZ100" i="52" s="1"/>
  <c r="BD51" i="52"/>
  <c r="BD113" i="52" s="1"/>
  <c r="BC77" i="52"/>
  <c r="BA78" i="52"/>
  <c r="AZ89" i="52"/>
  <c r="AW101" i="52"/>
  <c r="BE101" i="52"/>
  <c r="AW105" i="52"/>
  <c r="BE105" i="52"/>
  <c r="BA106" i="52"/>
  <c r="BA110" i="52"/>
  <c r="BC27" i="52"/>
  <c r="BA28" i="52"/>
  <c r="BA100" i="52" s="1"/>
  <c r="BA89" i="52"/>
  <c r="AX101" i="52"/>
  <c r="BF101" i="52"/>
  <c r="AX105" i="52"/>
  <c r="BF105" i="52"/>
  <c r="BB106" i="52"/>
  <c r="BD27" i="52"/>
  <c r="AW77" i="52"/>
  <c r="BE77" i="52"/>
  <c r="BC78" i="52"/>
  <c r="BB89" i="52"/>
  <c r="AY101" i="52"/>
  <c r="BG101" i="52"/>
  <c r="AY105" i="52"/>
  <c r="BG105" i="52"/>
  <c r="BC106" i="52"/>
  <c r="BC89" i="52"/>
  <c r="AZ101" i="52"/>
  <c r="AZ105" i="52"/>
  <c r="AV106" i="52"/>
  <c r="BD106" i="52"/>
  <c r="AY77" i="52"/>
  <c r="BA101" i="52"/>
  <c r="AW106" i="52"/>
  <c r="BE106" i="52"/>
  <c r="BB101" i="52"/>
  <c r="AX106" i="52"/>
  <c r="BF106" i="52"/>
  <c r="BC101" i="52"/>
  <c r="C53" i="51"/>
  <c r="C43" i="51"/>
  <c r="AB51" i="51"/>
  <c r="AC51" i="51"/>
  <c r="G29" i="1"/>
  <c r="G28" i="1"/>
  <c r="D9" i="51"/>
  <c r="F9" i="51"/>
  <c r="G9" i="51"/>
  <c r="H9" i="51"/>
  <c r="I9" i="51"/>
  <c r="J9" i="51"/>
  <c r="K9" i="51"/>
  <c r="L9" i="51"/>
  <c r="M9" i="51"/>
  <c r="N9" i="51"/>
  <c r="O9" i="51"/>
  <c r="P9" i="51"/>
  <c r="Q9" i="51"/>
  <c r="R9" i="51"/>
  <c r="S9" i="51"/>
  <c r="T9" i="51"/>
  <c r="U9" i="51"/>
  <c r="V9" i="51"/>
  <c r="W9" i="51"/>
  <c r="X9" i="51"/>
  <c r="Y9" i="51"/>
  <c r="Z9" i="51"/>
  <c r="AA9" i="51"/>
  <c r="AB9" i="51"/>
  <c r="AB99" i="51" s="1"/>
  <c r="AC9" i="51"/>
  <c r="AC99" i="51" s="1"/>
  <c r="AZ97" i="52" l="1"/>
  <c r="DG22" i="52"/>
  <c r="DG12" i="52"/>
  <c r="DG14" i="52"/>
  <c r="DG18" i="52"/>
  <c r="BG90" i="52"/>
  <c r="BC97" i="52"/>
  <c r="BA97" i="52"/>
  <c r="BB97" i="52"/>
  <c r="BD97" i="52"/>
  <c r="Z73" i="51"/>
  <c r="Z98" i="51"/>
  <c r="Z103" i="51" s="1"/>
  <c r="Z96" i="51"/>
  <c r="Z94" i="51"/>
  <c r="Z92" i="51" a="1"/>
  <c r="Z92" i="51" s="1"/>
  <c r="Z178" i="51" l="1"/>
  <c r="Z179" i="51"/>
  <c r="Z180" i="51"/>
  <c r="Z181" i="51"/>
  <c r="Z112" i="51"/>
  <c r="Z113" i="51"/>
  <c r="Z114" i="51"/>
  <c r="Z53" i="51"/>
  <c r="Z43" i="51"/>
  <c r="Z21" i="51"/>
  <c r="Z124" i="51" s="1"/>
  <c r="Z22" i="51"/>
  <c r="AE96" i="51"/>
  <c r="AE94" i="51"/>
  <c r="T96" i="51"/>
  <c r="AA96" i="51"/>
  <c r="AA94" i="51"/>
  <c r="T94" i="51"/>
  <c r="A53" i="52"/>
  <c r="A52" i="52"/>
  <c r="Z99" i="51" l="1"/>
  <c r="Z156" i="51"/>
  <c r="Z168" i="51"/>
  <c r="Z121" i="51"/>
  <c r="Z148" i="51"/>
  <c r="Z23" i="51"/>
  <c r="T46" i="36" a="1"/>
  <c r="T46" i="36" s="1"/>
  <c r="T11" i="36" a="1"/>
  <c r="T11" i="36" s="1"/>
  <c r="T12" i="36" a="1"/>
  <c r="T12" i="36" s="1"/>
  <c r="T13" i="36" a="1"/>
  <c r="T13" i="36" s="1"/>
  <c r="T18" i="36" a="1"/>
  <c r="T18" i="36" s="1"/>
  <c r="T19" i="36" a="1"/>
  <c r="T19" i="36" s="1"/>
  <c r="Z100" i="51" l="1"/>
  <c r="Z101" i="51"/>
  <c r="S11" i="36"/>
  <c r="S12" i="36"/>
  <c r="S13" i="36"/>
  <c r="S18" i="36"/>
  <c r="S19" i="36"/>
  <c r="BU13" i="52"/>
  <c r="BS69" i="52"/>
  <c r="BS13" i="52"/>
  <c r="BQ13" i="52"/>
  <c r="BO71" i="52"/>
  <c r="BO77" i="52"/>
  <c r="AB60" i="51"/>
  <c r="AC60" i="51"/>
  <c r="BS100" i="52" l="1"/>
  <c r="BO101" i="52"/>
  <c r="BQ106" i="52"/>
  <c r="BQ100" i="52"/>
  <c r="BU106" i="52"/>
  <c r="BU100" i="52"/>
  <c r="Z102" i="51"/>
  <c r="BQ110" i="52"/>
  <c r="BS110" i="52"/>
  <c r="BU110" i="52"/>
  <c r="BU88" i="52"/>
  <c r="BU89" i="52"/>
  <c r="BU105" i="52"/>
  <c r="BQ88" i="52"/>
  <c r="BU77" i="52"/>
  <c r="BS88" i="52"/>
  <c r="BS106" i="52"/>
  <c r="BS89" i="52"/>
  <c r="BS77" i="52"/>
  <c r="BS105" i="52"/>
  <c r="BQ89" i="52"/>
  <c r="BQ105" i="52"/>
  <c r="BQ77" i="52"/>
  <c r="BO88" i="52"/>
  <c r="BO105" i="52"/>
  <c r="BO110" i="52"/>
  <c r="BO89" i="52"/>
  <c r="BO106" i="52"/>
  <c r="BU80" i="52" l="1" a="1"/>
  <c r="BU80" i="52" s="1"/>
  <c r="BS80" i="52" a="1"/>
  <c r="BS80" i="52" s="1"/>
  <c r="I26" i="28" l="1"/>
  <c r="I25" i="28"/>
  <c r="A56" i="24"/>
  <c r="A33" i="24"/>
  <c r="A17" i="24"/>
  <c r="B56" i="36"/>
  <c r="B20" i="36"/>
  <c r="A12" i="63"/>
  <c r="A129" i="20"/>
  <c r="C113" i="20"/>
  <c r="B34" i="12"/>
  <c r="M20" i="63" l="1"/>
  <c r="M28" i="63"/>
  <c r="H117" i="12" s="1"/>
  <c r="U11" i="36"/>
  <c r="N6" i="63" a="1"/>
  <c r="N6" i="63" s="1"/>
  <c r="N7" i="63" a="1"/>
  <c r="N7" i="63" s="1"/>
  <c r="N8" i="63" a="1"/>
  <c r="N8" i="63" s="1"/>
  <c r="N9" i="63" a="1"/>
  <c r="N9" i="63" s="1"/>
  <c r="N10" i="63" a="1"/>
  <c r="N10" i="63" s="1"/>
  <c r="N11" i="63" a="1"/>
  <c r="N11" i="63" s="1"/>
  <c r="M7" i="63"/>
  <c r="M8" i="63"/>
  <c r="M9" i="63"/>
  <c r="M10" i="63"/>
  <c r="M11" i="63"/>
  <c r="M6" i="63"/>
  <c r="S10" i="36"/>
  <c r="S20" i="36" s="1"/>
  <c r="U10" i="36"/>
  <c r="M12" i="63" l="1"/>
  <c r="H99" i="12" s="1"/>
  <c r="O8" i="63"/>
  <c r="O10" i="63" s="1"/>
  <c r="N12" i="63"/>
  <c r="H114" i="12" s="1"/>
  <c r="CB80" i="52" a="1"/>
  <c r="CB80" i="52" s="1"/>
  <c r="CC80" i="52" a="1"/>
  <c r="CC80" i="52" s="1"/>
  <c r="CD80" i="52" a="1"/>
  <c r="CD80" i="52" s="1"/>
  <c r="CE80" i="52" a="1"/>
  <c r="CE80" i="52" s="1"/>
  <c r="CA80" i="52" a="1"/>
  <c r="CA80" i="52" s="1"/>
  <c r="BV80" i="52" a="1"/>
  <c r="BV80" i="52" s="1"/>
  <c r="BW80" i="52" a="1"/>
  <c r="BW80" i="52" s="1"/>
  <c r="BX80" i="52" a="1"/>
  <c r="BX80" i="52" s="1"/>
  <c r="BI80" i="52" a="1"/>
  <c r="BI80" i="52" s="1"/>
  <c r="BJ80" i="52" a="1"/>
  <c r="BJ80" i="52" s="1"/>
  <c r="BK80" i="52" a="1"/>
  <c r="BK80" i="52" s="1"/>
  <c r="AK80" i="52" a="1"/>
  <c r="AK80" i="52" s="1"/>
  <c r="AL80" i="52" a="1"/>
  <c r="AL80" i="52" s="1"/>
  <c r="AM80" i="52" a="1"/>
  <c r="AM80" i="52" s="1"/>
  <c r="AN80" i="52" a="1"/>
  <c r="AN80" i="52" s="1"/>
  <c r="AO80" i="52" a="1"/>
  <c r="AO80" i="52" s="1"/>
  <c r="AP80" i="52" a="1"/>
  <c r="AP80" i="52" s="1"/>
  <c r="AQ80" i="52" a="1"/>
  <c r="AQ80" i="52" s="1"/>
  <c r="AR80" i="52" a="1"/>
  <c r="AR80" i="52" s="1"/>
  <c r="AS80" i="52" a="1"/>
  <c r="AS80" i="52" s="1"/>
  <c r="W80" i="52" a="1"/>
  <c r="W80" i="52" s="1"/>
  <c r="AD80" i="52" a="1"/>
  <c r="AD80" i="52" s="1"/>
  <c r="AE80" i="52" a="1"/>
  <c r="AE80" i="52" s="1"/>
  <c r="AF80" i="52" a="1"/>
  <c r="AF80" i="52" s="1"/>
  <c r="AG80" i="52" a="1"/>
  <c r="AG80" i="52" s="1"/>
  <c r="G80" i="52" a="1"/>
  <c r="G80" i="52" s="1"/>
  <c r="K80" i="52" a="1"/>
  <c r="K80" i="52" s="1"/>
  <c r="L80" i="52" a="1"/>
  <c r="L80" i="52" s="1"/>
  <c r="M80" i="52" a="1"/>
  <c r="M80" i="52" s="1"/>
  <c r="N80" i="52" a="1"/>
  <c r="N80" i="52" s="1"/>
  <c r="O80" i="52" a="1"/>
  <c r="O80" i="52" s="1"/>
  <c r="P80" i="52" a="1"/>
  <c r="P80" i="52" s="1"/>
  <c r="Q80" i="52" a="1"/>
  <c r="Q80" i="52" s="1"/>
  <c r="R80" i="52" a="1"/>
  <c r="R80" i="52" s="1"/>
  <c r="S80" i="52" a="1"/>
  <c r="S80" i="52" s="1"/>
  <c r="C80" i="52" a="1"/>
  <c r="C80" i="52" s="1"/>
  <c r="D80" i="52" a="1"/>
  <c r="D80" i="52" s="1"/>
  <c r="AA92" i="51" a="1"/>
  <c r="AA92" i="51" s="1"/>
  <c r="U92" i="51" a="1"/>
  <c r="U92" i="51" s="1"/>
  <c r="G69" i="52"/>
  <c r="G77" i="52"/>
  <c r="G13" i="52"/>
  <c r="J69" i="52"/>
  <c r="J77" i="52"/>
  <c r="J13" i="52"/>
  <c r="G106" i="52" l="1"/>
  <c r="F7" i="5"/>
  <c r="M29" i="63"/>
  <c r="I117" i="12"/>
  <c r="F20" i="5"/>
  <c r="F27" i="5"/>
  <c r="H27" i="5" s="1"/>
  <c r="G105" i="52"/>
  <c r="G101" i="52"/>
  <c r="G88" i="52"/>
  <c r="G110" i="52"/>
  <c r="G89" i="52"/>
  <c r="J101" i="52"/>
  <c r="J89" i="52"/>
  <c r="J106" i="52"/>
  <c r="J88" i="52"/>
  <c r="J105" i="52"/>
  <c r="J110" i="52"/>
  <c r="G27" i="5" l="1"/>
  <c r="I114" i="12" s="1"/>
  <c r="H20" i="5"/>
  <c r="G20" i="5"/>
  <c r="U181" i="51"/>
  <c r="U180" i="51"/>
  <c r="U179" i="51"/>
  <c r="U178" i="51"/>
  <c r="U114" i="51"/>
  <c r="U113" i="51"/>
  <c r="U112" i="51"/>
  <c r="U98" i="51"/>
  <c r="U103" i="51" s="1"/>
  <c r="U82" i="51"/>
  <c r="U73" i="51"/>
  <c r="U53" i="51"/>
  <c r="U43" i="51"/>
  <c r="U168" i="51"/>
  <c r="I99" i="12" l="1"/>
  <c r="U156" i="51"/>
  <c r="U148" i="51"/>
  <c r="U89" i="51"/>
  <c r="U99" i="51"/>
  <c r="D29" i="5" l="1"/>
  <c r="U100" i="51"/>
  <c r="U101" i="51"/>
  <c r="H6" i="5"/>
  <c r="U47" i="36"/>
  <c r="U46" i="36"/>
  <c r="U48" i="36" l="1"/>
  <c r="U49" i="36"/>
  <c r="F9" i="5" s="1"/>
  <c r="U102" i="51"/>
  <c r="U12" i="36"/>
  <c r="U13" i="36" s="1"/>
  <c r="F8" i="5" s="1"/>
  <c r="J53" i="51" l="1"/>
  <c r="C9" i="51" l="1"/>
  <c r="C99" i="51" s="1"/>
  <c r="AB161" i="51"/>
  <c r="AC161" i="51"/>
  <c r="T113" i="52"/>
  <c r="U113" i="52"/>
  <c r="AH113" i="52"/>
  <c r="AI113" i="52"/>
  <c r="AT113" i="52"/>
  <c r="AU113" i="52"/>
  <c r="BL113" i="52"/>
  <c r="BM113" i="52"/>
  <c r="BY113" i="52"/>
  <c r="BZ113" i="52"/>
  <c r="CF113" i="52"/>
  <c r="CG113" i="52"/>
  <c r="H2" i="5"/>
  <c r="F2" i="5"/>
  <c r="H3" i="5" s="1"/>
  <c r="G2" i="5"/>
  <c r="G3" i="5"/>
  <c r="T10" i="36" a="1"/>
  <c r="T10" i="36" s="1"/>
  <c r="T20" i="36" s="1"/>
  <c r="T47" i="36" a="1"/>
  <c r="T47" i="36" s="1"/>
  <c r="T48" i="36" a="1"/>
  <c r="T48" i="36" s="1"/>
  <c r="T49" i="36" a="1"/>
  <c r="T49" i="36" s="1"/>
  <c r="T54" i="36" a="1"/>
  <c r="T54" i="36" s="1"/>
  <c r="T55" i="36" a="1"/>
  <c r="T55" i="36" s="1"/>
  <c r="S47" i="36"/>
  <c r="S48" i="36"/>
  <c r="S49" i="36"/>
  <c r="S54" i="36"/>
  <c r="S55" i="36"/>
  <c r="S46" i="36"/>
  <c r="S72" i="36"/>
  <c r="H116" i="12" s="1"/>
  <c r="U71" i="36"/>
  <c r="U67" i="36"/>
  <c r="S64" i="36"/>
  <c r="U63" i="36"/>
  <c r="U59" i="36"/>
  <c r="A5" i="36"/>
  <c r="S56" i="36" l="1"/>
  <c r="T56" i="36"/>
  <c r="F26" i="5" s="1"/>
  <c r="H26" i="5" s="1"/>
  <c r="A66" i="36"/>
  <c r="I113" i="12"/>
  <c r="H113" i="12"/>
  <c r="I116" i="12"/>
  <c r="F19" i="5"/>
  <c r="H19" i="5" s="1"/>
  <c r="H98" i="12"/>
  <c r="A58" i="36"/>
  <c r="B2" i="55"/>
  <c r="A79" i="52"/>
  <c r="BR69" i="52"/>
  <c r="BR13" i="52"/>
  <c r="BT77" i="52"/>
  <c r="BT13" i="52"/>
  <c r="G178" i="51"/>
  <c r="H178" i="51"/>
  <c r="I178" i="51"/>
  <c r="J178" i="51"/>
  <c r="K178" i="51"/>
  <c r="L178" i="51"/>
  <c r="M178" i="51"/>
  <c r="N178" i="51"/>
  <c r="O178" i="51"/>
  <c r="P178" i="51"/>
  <c r="Q178" i="51"/>
  <c r="R178" i="51"/>
  <c r="S178" i="51"/>
  <c r="T178" i="51"/>
  <c r="V178" i="51"/>
  <c r="W178" i="51"/>
  <c r="X178" i="51"/>
  <c r="Y178" i="51"/>
  <c r="AA178" i="51"/>
  <c r="F179" i="51"/>
  <c r="G179" i="51"/>
  <c r="H179" i="51"/>
  <c r="I179" i="51"/>
  <c r="J179" i="51"/>
  <c r="K179" i="51"/>
  <c r="L179" i="51"/>
  <c r="M179" i="51"/>
  <c r="N179" i="51"/>
  <c r="O179" i="51"/>
  <c r="P179" i="51"/>
  <c r="Q179" i="51"/>
  <c r="R179" i="51"/>
  <c r="S179" i="51"/>
  <c r="T179" i="51"/>
  <c r="V179" i="51"/>
  <c r="W179" i="51"/>
  <c r="X179" i="51"/>
  <c r="Y179" i="51"/>
  <c r="AA179" i="51"/>
  <c r="F180" i="51"/>
  <c r="H180" i="51"/>
  <c r="I180" i="51"/>
  <c r="J180" i="51"/>
  <c r="K180" i="51"/>
  <c r="L180" i="51"/>
  <c r="M180" i="51"/>
  <c r="N180" i="51"/>
  <c r="O180" i="51"/>
  <c r="P180" i="51"/>
  <c r="Q180" i="51"/>
  <c r="R180" i="51"/>
  <c r="S180" i="51"/>
  <c r="T180" i="51"/>
  <c r="V180" i="51"/>
  <c r="W180" i="51"/>
  <c r="X180" i="51"/>
  <c r="Y180" i="51"/>
  <c r="AA180" i="51"/>
  <c r="I181" i="51"/>
  <c r="K181" i="51"/>
  <c r="L181" i="51"/>
  <c r="N181" i="51"/>
  <c r="O181" i="51"/>
  <c r="P181" i="51"/>
  <c r="Q181" i="51"/>
  <c r="R181" i="51"/>
  <c r="S181" i="51"/>
  <c r="T181" i="51"/>
  <c r="V181" i="51"/>
  <c r="W181" i="51"/>
  <c r="X181" i="51"/>
  <c r="Y181" i="51"/>
  <c r="AA181" i="51"/>
  <c r="E180" i="51"/>
  <c r="E179" i="51"/>
  <c r="BX13" i="52"/>
  <c r="E13" i="52"/>
  <c r="F13" i="52"/>
  <c r="H13" i="52"/>
  <c r="I13" i="52"/>
  <c r="K13" i="52"/>
  <c r="L13" i="52"/>
  <c r="M13" i="52"/>
  <c r="N13" i="52"/>
  <c r="O13" i="52"/>
  <c r="P13" i="52"/>
  <c r="Q13" i="52"/>
  <c r="R13" i="52"/>
  <c r="S13" i="52"/>
  <c r="T13" i="52"/>
  <c r="T107" i="52" s="1"/>
  <c r="U13" i="52"/>
  <c r="U107" i="52" s="1"/>
  <c r="V13" i="52"/>
  <c r="W13" i="52"/>
  <c r="X13" i="52"/>
  <c r="Y13" i="52"/>
  <c r="Z13" i="52"/>
  <c r="AA13" i="52"/>
  <c r="AB13" i="52"/>
  <c r="AC13" i="52"/>
  <c r="AD13" i="52"/>
  <c r="AE13" i="52"/>
  <c r="AF13" i="52"/>
  <c r="AG13" i="52"/>
  <c r="AH13" i="52"/>
  <c r="AH107" i="52" s="1"/>
  <c r="AI13" i="52"/>
  <c r="AI107" i="52" s="1"/>
  <c r="AJ13" i="52"/>
  <c r="AK13" i="52"/>
  <c r="AL13" i="52"/>
  <c r="AM13" i="52"/>
  <c r="AN13" i="52"/>
  <c r="AO13" i="52"/>
  <c r="AP13" i="52"/>
  <c r="AQ13" i="52"/>
  <c r="AR13" i="52"/>
  <c r="AS13" i="52"/>
  <c r="AT13" i="52"/>
  <c r="AT107" i="52" s="1"/>
  <c r="AU13" i="52"/>
  <c r="AU107" i="52" s="1"/>
  <c r="BH13" i="52"/>
  <c r="BI13" i="52"/>
  <c r="BJ13" i="52"/>
  <c r="BK13" i="52"/>
  <c r="BL13" i="52"/>
  <c r="BL107" i="52" s="1"/>
  <c r="BM13" i="52"/>
  <c r="BM107" i="52" s="1"/>
  <c r="BN13" i="52"/>
  <c r="BP13" i="52"/>
  <c r="BV13" i="52"/>
  <c r="BW13" i="52"/>
  <c r="BY13" i="52"/>
  <c r="BY107" i="52" s="1"/>
  <c r="BZ13" i="52"/>
  <c r="BZ107" i="52" s="1"/>
  <c r="CA13" i="52"/>
  <c r="CB13" i="52"/>
  <c r="CC13" i="52"/>
  <c r="CD13" i="52"/>
  <c r="CE13" i="52"/>
  <c r="CF13" i="52"/>
  <c r="CG13" i="52"/>
  <c r="D13" i="52"/>
  <c r="C13" i="52"/>
  <c r="CF88" i="52" l="1"/>
  <c r="CF107" i="52"/>
  <c r="CG88" i="52"/>
  <c r="CG107" i="52"/>
  <c r="L51" i="52"/>
  <c r="L113" i="52" s="1"/>
  <c r="S51" i="52"/>
  <c r="S113" i="52" s="1"/>
  <c r="CG100" i="52"/>
  <c r="BY100" i="52"/>
  <c r="BJ100" i="52"/>
  <c r="AP51" i="52"/>
  <c r="AP113" i="52" s="1"/>
  <c r="AH100" i="52"/>
  <c r="M51" i="52"/>
  <c r="M113" i="52" s="1"/>
  <c r="BL100" i="52"/>
  <c r="BZ100" i="52"/>
  <c r="BT100" i="52"/>
  <c r="CE100" i="52"/>
  <c r="BV100" i="52"/>
  <c r="BH100" i="52"/>
  <c r="BM94" i="52"/>
  <c r="AN51" i="52"/>
  <c r="AN113" i="52" s="1"/>
  <c r="AF51" i="52"/>
  <c r="AF113" i="52" s="1"/>
  <c r="AS51" i="52"/>
  <c r="AS113" i="52" s="1"/>
  <c r="AR51" i="52"/>
  <c r="AR113" i="52" s="1"/>
  <c r="T100" i="52"/>
  <c r="BK100" i="52"/>
  <c r="AQ51" i="52"/>
  <c r="AQ113" i="52" s="1"/>
  <c r="AI100" i="52"/>
  <c r="K51" i="52"/>
  <c r="K113" i="52" s="1"/>
  <c r="BW100" i="52"/>
  <c r="BI100" i="52"/>
  <c r="AO51" i="52"/>
  <c r="AO113" i="52" s="1"/>
  <c r="AG51" i="52"/>
  <c r="AG113" i="52" s="1"/>
  <c r="CD100" i="52"/>
  <c r="BP100" i="52"/>
  <c r="AU100" i="52"/>
  <c r="AM51" i="52"/>
  <c r="AM113" i="52" s="1"/>
  <c r="AE51" i="52"/>
  <c r="AE113" i="52" s="1"/>
  <c r="W100" i="52"/>
  <c r="O51" i="52"/>
  <c r="O113" i="52" s="1"/>
  <c r="BR100" i="52"/>
  <c r="BM100" i="52"/>
  <c r="AK51" i="52"/>
  <c r="AK113" i="52" s="1"/>
  <c r="AU94" i="52"/>
  <c r="U100" i="52"/>
  <c r="CC100" i="52"/>
  <c r="AT100" i="52"/>
  <c r="AL51" i="52"/>
  <c r="AL113" i="52" s="1"/>
  <c r="AD51" i="52"/>
  <c r="AD113" i="52" s="1"/>
  <c r="N51" i="52"/>
  <c r="N113" i="52" s="1"/>
  <c r="BX100" i="52"/>
  <c r="V100" i="52"/>
  <c r="CF100" i="52"/>
  <c r="BR110" i="52"/>
  <c r="BX78" i="52"/>
  <c r="BX51" i="52"/>
  <c r="BX113" i="52" s="1"/>
  <c r="BJ78" i="52"/>
  <c r="BJ51" i="52"/>
  <c r="BJ113" i="52" s="1"/>
  <c r="BW78" i="52"/>
  <c r="BW51" i="52"/>
  <c r="BW113" i="52" s="1"/>
  <c r="CE78" i="52"/>
  <c r="CE51" i="52"/>
  <c r="CE113" i="52" s="1"/>
  <c r="BV78" i="52"/>
  <c r="BV51" i="52"/>
  <c r="BV113" i="52" s="1"/>
  <c r="P78" i="52"/>
  <c r="P51" i="52"/>
  <c r="P113" i="52" s="1"/>
  <c r="CD78" i="52"/>
  <c r="CD51" i="52"/>
  <c r="CD113" i="52" s="1"/>
  <c r="BK78" i="52"/>
  <c r="BK51" i="52"/>
  <c r="BK113" i="52" s="1"/>
  <c r="CC78" i="52"/>
  <c r="CC51" i="52"/>
  <c r="CC113" i="52" s="1"/>
  <c r="P28" i="52"/>
  <c r="P100" i="52" s="1"/>
  <c r="L28" i="52"/>
  <c r="L100" i="52" s="1"/>
  <c r="L78" i="52"/>
  <c r="AQ28" i="52"/>
  <c r="AQ100" i="52" s="1"/>
  <c r="AQ78" i="52"/>
  <c r="S28" i="52"/>
  <c r="S100" i="52" s="1"/>
  <c r="S78" i="52"/>
  <c r="K28" i="52"/>
  <c r="K100" i="52" s="1"/>
  <c r="K78" i="52"/>
  <c r="AP28" i="52"/>
  <c r="AP100" i="52" s="1"/>
  <c r="AP78" i="52"/>
  <c r="BR77" i="52"/>
  <c r="AN28" i="52"/>
  <c r="AN100" i="52" s="1"/>
  <c r="AN78" i="52"/>
  <c r="AF28" i="52"/>
  <c r="AF100" i="52" s="1"/>
  <c r="AF78" i="52"/>
  <c r="AG28" i="52"/>
  <c r="AG100" i="52" s="1"/>
  <c r="AG78" i="52"/>
  <c r="AM28" i="52"/>
  <c r="AM100" i="52" s="1"/>
  <c r="AM78" i="52"/>
  <c r="AE28" i="52"/>
  <c r="AE100" i="52" s="1"/>
  <c r="AE78" i="52"/>
  <c r="O28" i="52"/>
  <c r="O100" i="52" s="1"/>
  <c r="O78" i="52"/>
  <c r="AR28" i="52"/>
  <c r="AR100" i="52" s="1"/>
  <c r="AR78" i="52"/>
  <c r="AO28" i="52"/>
  <c r="AO100" i="52" s="1"/>
  <c r="AO78" i="52"/>
  <c r="AL28" i="52"/>
  <c r="AL100" i="52" s="1"/>
  <c r="AL78" i="52"/>
  <c r="AD28" i="52"/>
  <c r="AD100" i="52" s="1"/>
  <c r="AD78" i="52"/>
  <c r="N28" i="52"/>
  <c r="N100" i="52" s="1"/>
  <c r="N78" i="52"/>
  <c r="BR105" i="52"/>
  <c r="AS28" i="52"/>
  <c r="AS100" i="52" s="1"/>
  <c r="AS78" i="52"/>
  <c r="AK28" i="52"/>
  <c r="AK100" i="52" s="1"/>
  <c r="AK78" i="52"/>
  <c r="M28" i="52"/>
  <c r="M100" i="52" s="1"/>
  <c r="M78" i="52"/>
  <c r="BR106" i="52"/>
  <c r="BT105" i="52"/>
  <c r="BR88" i="52"/>
  <c r="BT106" i="52"/>
  <c r="BT110" i="52"/>
  <c r="BT88" i="52"/>
  <c r="B84" i="52"/>
  <c r="B83" i="52"/>
  <c r="B82" i="52"/>
  <c r="B81" i="52"/>
  <c r="A83" i="52"/>
  <c r="A81" i="52"/>
  <c r="B80" i="52"/>
  <c r="B79" i="52"/>
  <c r="B78" i="52"/>
  <c r="M34" i="63" l="1"/>
  <c r="U94" i="52"/>
  <c r="B77" i="52"/>
  <c r="B76" i="52"/>
  <c r="B75" i="52"/>
  <c r="A14" i="52"/>
  <c r="M33" i="63"/>
  <c r="A2" i="63"/>
  <c r="T114" i="52" l="1"/>
  <c r="U114" i="52"/>
  <c r="AH114" i="52"/>
  <c r="AI114" i="52"/>
  <c r="AT114" i="52"/>
  <c r="AU114" i="52"/>
  <c r="BL114" i="52"/>
  <c r="BM114" i="52"/>
  <c r="BY114" i="52"/>
  <c r="BZ114" i="52"/>
  <c r="CF114" i="52"/>
  <c r="CG114" i="52"/>
  <c r="N168" i="51"/>
  <c r="L168" i="51"/>
  <c r="AF175" i="51"/>
  <c r="AF174" i="51"/>
  <c r="AF172" i="51"/>
  <c r="AG164" i="51"/>
  <c r="AF160" i="51"/>
  <c r="AG162" i="51"/>
  <c r="AG161" i="51"/>
  <c r="AF158" i="51"/>
  <c r="AF157" i="51"/>
  <c r="AG159" i="51"/>
  <c r="AG158" i="51"/>
  <c r="AF155" i="51"/>
  <c r="AG156" i="51"/>
  <c r="AG155" i="51"/>
  <c r="AF152" i="51"/>
  <c r="AF151" i="51"/>
  <c r="AG153" i="51"/>
  <c r="AF147" i="51"/>
  <c r="D124" i="51"/>
  <c r="C124" i="51"/>
  <c r="AE118" i="51"/>
  <c r="F23" i="5" l="1"/>
  <c r="BR89" i="52" l="1"/>
  <c r="BT89" i="52"/>
  <c r="AD84" i="52"/>
  <c r="AE93" i="51" l="1"/>
  <c r="AE92" i="51"/>
  <c r="AC96" i="51"/>
  <c r="AE95" i="51"/>
  <c r="B3" i="55" l="1"/>
  <c r="I130" i="32" l="1"/>
  <c r="I131" i="32"/>
  <c r="I132" i="32"/>
  <c r="I129" i="32"/>
  <c r="E7" i="32" l="1"/>
  <c r="Y114" i="51"/>
  <c r="Y113" i="51"/>
  <c r="Y112" i="51"/>
  <c r="Y98" i="51"/>
  <c r="Y103" i="51" s="1"/>
  <c r="Y82" i="51"/>
  <c r="Y73" i="51"/>
  <c r="Y53" i="51"/>
  <c r="Y89" i="51" s="1"/>
  <c r="Y43" i="51"/>
  <c r="X114" i="51"/>
  <c r="W114" i="51"/>
  <c r="X98" i="51"/>
  <c r="X103" i="51" s="1"/>
  <c r="W98" i="51"/>
  <c r="W103" i="51" s="1"/>
  <c r="V98" i="51"/>
  <c r="V103" i="51" s="1"/>
  <c r="X82" i="51"/>
  <c r="W82" i="51"/>
  <c r="V82" i="51"/>
  <c r="X73" i="51"/>
  <c r="W73" i="51"/>
  <c r="V73" i="51"/>
  <c r="X53" i="51"/>
  <c r="X89" i="51" s="1"/>
  <c r="W53" i="51"/>
  <c r="W89" i="51" s="1"/>
  <c r="V53" i="51"/>
  <c r="V89" i="51" s="1"/>
  <c r="X43" i="51"/>
  <c r="W43" i="51"/>
  <c r="V43" i="51"/>
  <c r="Y156" i="51" l="1"/>
  <c r="W156" i="51"/>
  <c r="X168" i="51"/>
  <c r="V168" i="51"/>
  <c r="W168" i="51"/>
  <c r="Y168" i="51"/>
  <c r="X148" i="51"/>
  <c r="V156" i="51"/>
  <c r="Y99" i="51"/>
  <c r="Y100" i="51" s="1"/>
  <c r="V148" i="51"/>
  <c r="X156" i="51"/>
  <c r="W148" i="51"/>
  <c r="Y148" i="51"/>
  <c r="V99" i="51"/>
  <c r="W99" i="51"/>
  <c r="X99" i="51"/>
  <c r="V100" i="51" l="1"/>
  <c r="X100" i="51"/>
  <c r="W100" i="51"/>
  <c r="Y101" i="51" l="1"/>
  <c r="Y102" i="51" s="1"/>
  <c r="V101" i="51"/>
  <c r="V102" i="51" s="1"/>
  <c r="X101" i="51"/>
  <c r="X102" i="51" s="1"/>
  <c r="W101" i="51"/>
  <c r="W102" i="51" s="1"/>
  <c r="AJ57" i="52"/>
  <c r="AJ56" i="52"/>
  <c r="C89" i="32" l="1"/>
  <c r="B7" i="32"/>
  <c r="B12" i="32" s="1"/>
  <c r="B16" i="32" s="1"/>
  <c r="B24" i="32" s="1"/>
  <c r="B32" i="32" s="1"/>
  <c r="B36" i="32" s="1"/>
  <c r="B44" i="32" s="1"/>
  <c r="B52" i="32" s="1"/>
  <c r="B59" i="32" s="1"/>
  <c r="B63" i="32" s="1"/>
  <c r="B72" i="32" s="1"/>
  <c r="B76" i="32" s="1"/>
  <c r="B82" i="32" s="1"/>
  <c r="B88" i="32" s="1"/>
  <c r="B92" i="32" s="1"/>
  <c r="B99" i="32" s="1"/>
  <c r="B106" i="32" s="1"/>
  <c r="B110" i="32" s="1"/>
  <c r="B114" i="32" s="1"/>
  <c r="B128" i="32" s="1"/>
  <c r="B134" i="32" s="1"/>
  <c r="B140" i="32" s="1"/>
  <c r="B144" i="32" s="1"/>
  <c r="B148" i="32" s="1"/>
  <c r="B155" i="32" s="1"/>
  <c r="B160" i="32" s="1"/>
  <c r="B11" i="23"/>
  <c r="B16" i="23" s="1"/>
  <c r="B20" i="23" s="1"/>
  <c r="B28" i="23" s="1"/>
  <c r="B36" i="23" s="1"/>
  <c r="B42" i="23" s="1"/>
  <c r="A83" i="36"/>
  <c r="A93" i="36" s="1"/>
  <c r="A104" i="36" s="1"/>
  <c r="A114" i="36" s="1"/>
  <c r="A121" i="36" s="1"/>
  <c r="A133" i="36" s="1"/>
  <c r="A139" i="36" s="1"/>
  <c r="A146" i="36" s="1"/>
  <c r="E73" i="24"/>
  <c r="E78" i="24" s="1"/>
  <c r="D73" i="24"/>
  <c r="D78" i="24" s="1"/>
  <c r="B10" i="24"/>
  <c r="B19" i="24" s="1"/>
  <c r="B26" i="24" s="1"/>
  <c r="B35" i="24" s="1"/>
  <c r="B39" i="24" s="1"/>
  <c r="B21" i="20"/>
  <c r="B33" i="20" s="1"/>
  <c r="B115" i="20"/>
  <c r="A160" i="36" l="1"/>
  <c r="A166" i="36" s="1"/>
  <c r="A154" i="36"/>
  <c r="B43" i="24"/>
  <c r="B48" i="24" s="1"/>
  <c r="B58" i="24" s="1"/>
  <c r="B67" i="24" s="1"/>
  <c r="B73" i="24" s="1"/>
  <c r="B78" i="24" s="1"/>
  <c r="B83" i="24" s="1"/>
  <c r="B91" i="24" s="1"/>
  <c r="B27" i="20"/>
  <c r="B40" i="20" s="1"/>
  <c r="B53" i="20" s="1"/>
  <c r="B60" i="20" s="1"/>
  <c r="B64" i="20" s="1"/>
  <c r="B73" i="20" s="1"/>
  <c r="B80" i="20" s="1"/>
  <c r="B87" i="20" s="1"/>
  <c r="B93" i="20" s="1"/>
  <c r="B110" i="20" s="1"/>
  <c r="A2" i="36" l="1"/>
  <c r="E43" i="51" l="1"/>
  <c r="E53" i="51"/>
  <c r="E89" i="51" s="1"/>
  <c r="F43" i="51"/>
  <c r="F53" i="51"/>
  <c r="G43" i="51"/>
  <c r="G53" i="51"/>
  <c r="G89" i="51" s="1"/>
  <c r="B88" i="52"/>
  <c r="E85" i="32"/>
  <c r="F85" i="32" s="1"/>
  <c r="X77" i="52"/>
  <c r="B57" i="8"/>
  <c r="B69" i="52"/>
  <c r="C17" i="51"/>
  <c r="G24" i="1"/>
  <c r="H25" i="1" s="1"/>
  <c r="E31" i="1"/>
  <c r="E89" i="32" s="1"/>
  <c r="E91" i="32" s="1"/>
  <c r="E71" i="24"/>
  <c r="E89" i="24" s="1"/>
  <c r="F51" i="5" s="1"/>
  <c r="E38" i="24"/>
  <c r="E42" i="24"/>
  <c r="E46" i="24"/>
  <c r="E55" i="24"/>
  <c r="E6" i="5"/>
  <c r="D6" i="2" s="1"/>
  <c r="C89" i="51"/>
  <c r="D43" i="51"/>
  <c r="D53" i="51"/>
  <c r="D89" i="51" s="1"/>
  <c r="L114" i="51"/>
  <c r="M114" i="51"/>
  <c r="N114" i="51"/>
  <c r="O114" i="51"/>
  <c r="P114" i="51"/>
  <c r="Q114" i="51"/>
  <c r="T114" i="51"/>
  <c r="AA112" i="51"/>
  <c r="AA113" i="51"/>
  <c r="AA114" i="51"/>
  <c r="H43" i="51"/>
  <c r="I43" i="51"/>
  <c r="J43" i="51"/>
  <c r="K43" i="51"/>
  <c r="L43" i="51"/>
  <c r="L148" i="51" s="1"/>
  <c r="M43" i="51"/>
  <c r="N43" i="51"/>
  <c r="N148" i="51" s="1"/>
  <c r="O43" i="51"/>
  <c r="P43" i="51"/>
  <c r="Q43" i="51"/>
  <c r="R43" i="51"/>
  <c r="S43" i="51"/>
  <c r="T43" i="51"/>
  <c r="AA43" i="51"/>
  <c r="H53" i="51"/>
  <c r="H89" i="51" s="1"/>
  <c r="I53" i="51"/>
  <c r="I89" i="51" s="1"/>
  <c r="J89" i="51"/>
  <c r="K53" i="51"/>
  <c r="K89" i="51" s="1"/>
  <c r="L53" i="51"/>
  <c r="M53" i="51"/>
  <c r="M89" i="51" s="1"/>
  <c r="N53" i="51"/>
  <c r="O53" i="51"/>
  <c r="O89" i="51" s="1"/>
  <c r="P53" i="51"/>
  <c r="P89" i="51" s="1"/>
  <c r="Q53" i="51"/>
  <c r="Q89" i="51" s="1"/>
  <c r="R53" i="51"/>
  <c r="R89" i="51" s="1"/>
  <c r="S53" i="51"/>
  <c r="S89" i="51" s="1"/>
  <c r="T53" i="51"/>
  <c r="T89" i="51" s="1"/>
  <c r="AA53" i="51"/>
  <c r="AA89" i="51" s="1"/>
  <c r="AC53" i="51"/>
  <c r="H77" i="52"/>
  <c r="I77" i="52"/>
  <c r="K77" i="52"/>
  <c r="L77" i="52"/>
  <c r="N77" i="52"/>
  <c r="P77" i="52"/>
  <c r="S77" i="52"/>
  <c r="C77" i="52"/>
  <c r="F77" i="52"/>
  <c r="AR77" i="52"/>
  <c r="AR69" i="52"/>
  <c r="AQ77" i="52"/>
  <c r="AQ69" i="52"/>
  <c r="AO77" i="52"/>
  <c r="AO69" i="52"/>
  <c r="AM77" i="52"/>
  <c r="AM69" i="52"/>
  <c r="AK77" i="52"/>
  <c r="AK69" i="52"/>
  <c r="AF77" i="52"/>
  <c r="AF69" i="52"/>
  <c r="AE77" i="52"/>
  <c r="AE69" i="52"/>
  <c r="AC69" i="52"/>
  <c r="AA77" i="52"/>
  <c r="AA69" i="52"/>
  <c r="Y77" i="52"/>
  <c r="Y69" i="52"/>
  <c r="R69" i="52"/>
  <c r="Q77" i="52"/>
  <c r="Q69" i="52"/>
  <c r="O77" i="52"/>
  <c r="O69" i="52"/>
  <c r="M77" i="52"/>
  <c r="M69" i="52"/>
  <c r="K69" i="52"/>
  <c r="I69" i="52"/>
  <c r="F69" i="52"/>
  <c r="W77" i="52"/>
  <c r="W71" i="52"/>
  <c r="W69" i="52"/>
  <c r="W57" i="52"/>
  <c r="W56" i="52"/>
  <c r="D71" i="52"/>
  <c r="D69" i="52"/>
  <c r="C57" i="52"/>
  <c r="C56" i="52"/>
  <c r="G27" i="1"/>
  <c r="G21" i="1"/>
  <c r="H22" i="1" s="1"/>
  <c r="G22" i="1"/>
  <c r="H23" i="1" s="1"/>
  <c r="G23" i="1"/>
  <c r="H24" i="1" s="1"/>
  <c r="G25" i="1"/>
  <c r="H26" i="1" s="1"/>
  <c r="G26" i="1"/>
  <c r="H27" i="1" s="1"/>
  <c r="B118" i="8"/>
  <c r="E118" i="8"/>
  <c r="B54" i="8"/>
  <c r="E54" i="8"/>
  <c r="CB77" i="52"/>
  <c r="CA77" i="52"/>
  <c r="BP77" i="52"/>
  <c r="BN77" i="52"/>
  <c r="BI77" i="52"/>
  <c r="BH77" i="52"/>
  <c r="AL77" i="52"/>
  <c r="Z77" i="52"/>
  <c r="AJ77" i="52"/>
  <c r="AB170" i="51"/>
  <c r="AC170" i="51"/>
  <c r="D163" i="32"/>
  <c r="D158" i="32"/>
  <c r="K6" i="28"/>
  <c r="E135" i="32" s="1"/>
  <c r="D151" i="32"/>
  <c r="D147" i="32"/>
  <c r="D143" i="32"/>
  <c r="D139" i="32"/>
  <c r="D133" i="32"/>
  <c r="D122" i="32"/>
  <c r="D113" i="32"/>
  <c r="D109" i="32"/>
  <c r="D106" i="32"/>
  <c r="D105" i="32"/>
  <c r="D98" i="32"/>
  <c r="D91" i="32"/>
  <c r="D87" i="32"/>
  <c r="D82" i="32"/>
  <c r="D81" i="32"/>
  <c r="D75" i="32"/>
  <c r="D71" i="32"/>
  <c r="D59" i="32"/>
  <c r="D58" i="32"/>
  <c r="D51" i="32"/>
  <c r="D43" i="32"/>
  <c r="D36" i="32"/>
  <c r="D35" i="32"/>
  <c r="D31" i="32"/>
  <c r="D23" i="32"/>
  <c r="D15" i="32"/>
  <c r="E97" i="24"/>
  <c r="D97" i="24"/>
  <c r="E88" i="24"/>
  <c r="E81" i="24"/>
  <c r="E76" i="24"/>
  <c r="D88" i="24"/>
  <c r="D81" i="24"/>
  <c r="D76" i="24"/>
  <c r="D71" i="24"/>
  <c r="D65" i="24"/>
  <c r="D55" i="24"/>
  <c r="D46" i="24"/>
  <c r="D42" i="24"/>
  <c r="D38" i="24"/>
  <c r="E25" i="24"/>
  <c r="E32" i="24"/>
  <c r="D32" i="24"/>
  <c r="D25" i="24"/>
  <c r="E9" i="24"/>
  <c r="E17" i="24" s="1"/>
  <c r="F47" i="5" s="1"/>
  <c r="E16" i="24"/>
  <c r="D9" i="24"/>
  <c r="D16" i="24"/>
  <c r="F6" i="5"/>
  <c r="H23" i="5" s="1"/>
  <c r="D40" i="12"/>
  <c r="G40" i="12" s="1"/>
  <c r="D41" i="12"/>
  <c r="G41" i="12" s="1"/>
  <c r="D54" i="12"/>
  <c r="G54" i="12" s="1"/>
  <c r="D55" i="12"/>
  <c r="G55" i="12" s="1"/>
  <c r="H69" i="52"/>
  <c r="AG77" i="52"/>
  <c r="V77" i="52"/>
  <c r="AB77" i="52"/>
  <c r="AD77" i="52"/>
  <c r="AB69" i="52"/>
  <c r="I4" i="32"/>
  <c r="I8" i="32"/>
  <c r="I26" i="32"/>
  <c r="I53" i="32"/>
  <c r="I77" i="32"/>
  <c r="I107" i="32"/>
  <c r="I115" i="32"/>
  <c r="I44" i="24"/>
  <c r="I20" i="24"/>
  <c r="I36" i="24"/>
  <c r="I49" i="24"/>
  <c r="I59" i="24"/>
  <c r="I68" i="24"/>
  <c r="I92" i="24"/>
  <c r="I27" i="24"/>
  <c r="I40" i="24"/>
  <c r="D78" i="2"/>
  <c r="S28" i="36"/>
  <c r="H97" i="12" s="1"/>
  <c r="E97" i="5"/>
  <c r="E108" i="5" s="1"/>
  <c r="F86" i="5"/>
  <c r="G86" i="5" s="1"/>
  <c r="F88" i="5"/>
  <c r="G88" i="5" s="1"/>
  <c r="F39" i="2" s="1"/>
  <c r="F87" i="5"/>
  <c r="G87" i="5" s="1"/>
  <c r="F38" i="2" s="1"/>
  <c r="U27" i="36"/>
  <c r="U23" i="36"/>
  <c r="G10" i="5"/>
  <c r="I84" i="24"/>
  <c r="I85" i="24"/>
  <c r="I86" i="24"/>
  <c r="I87" i="24"/>
  <c r="I100" i="32"/>
  <c r="I101" i="32"/>
  <c r="I102" i="32"/>
  <c r="I103" i="32"/>
  <c r="I104" i="32"/>
  <c r="I74" i="24"/>
  <c r="I75" i="24"/>
  <c r="I79" i="24"/>
  <c r="I80" i="24"/>
  <c r="I54" i="32"/>
  <c r="I55" i="32"/>
  <c r="I57" i="32"/>
  <c r="I56" i="32"/>
  <c r="I108" i="32"/>
  <c r="I4" i="24"/>
  <c r="D65" i="5"/>
  <c r="G34" i="1"/>
  <c r="J75" i="8" s="1"/>
  <c r="G62" i="5"/>
  <c r="BH69" i="52"/>
  <c r="BI69" i="52"/>
  <c r="BJ69" i="52"/>
  <c r="E29" i="5"/>
  <c r="C5" i="3" s="1"/>
  <c r="G6" i="5"/>
  <c r="D42" i="12"/>
  <c r="G42" i="12" s="1"/>
  <c r="D43" i="12"/>
  <c r="G43" i="12" s="1"/>
  <c r="D44" i="12"/>
  <c r="G44" i="12" s="1"/>
  <c r="D45" i="12"/>
  <c r="G45" i="12" s="1"/>
  <c r="D49" i="12"/>
  <c r="G49" i="12" s="1"/>
  <c r="D56" i="12"/>
  <c r="G56" i="12" s="1"/>
  <c r="D57" i="12"/>
  <c r="G57" i="12" s="1"/>
  <c r="D58" i="12"/>
  <c r="G58" i="12" s="1"/>
  <c r="D61" i="12"/>
  <c r="G61" i="12" s="1"/>
  <c r="D62" i="12"/>
  <c r="G62" i="12" s="1"/>
  <c r="D63" i="12"/>
  <c r="G63" i="12" s="1"/>
  <c r="D6" i="12"/>
  <c r="G6" i="12" s="1"/>
  <c r="D7" i="12"/>
  <c r="G7" i="12" s="1"/>
  <c r="D8" i="12"/>
  <c r="G8" i="12" s="1"/>
  <c r="D12" i="12"/>
  <c r="G12" i="12" s="1"/>
  <c r="D13" i="12"/>
  <c r="G13" i="12" s="1"/>
  <c r="D14" i="12"/>
  <c r="G14" i="12" s="1"/>
  <c r="D15" i="12"/>
  <c r="G15" i="12" s="1"/>
  <c r="D20" i="12"/>
  <c r="G20" i="12" s="1"/>
  <c r="D21" i="12"/>
  <c r="G21" i="12" s="1"/>
  <c r="D22" i="12"/>
  <c r="G22" i="12" s="1"/>
  <c r="D23" i="12"/>
  <c r="G23" i="12" s="1"/>
  <c r="D24" i="12"/>
  <c r="G24" i="12" s="1"/>
  <c r="D25" i="12"/>
  <c r="G25" i="12" s="1"/>
  <c r="D29" i="12"/>
  <c r="G29" i="12" s="1"/>
  <c r="H23" i="12"/>
  <c r="H24" i="12"/>
  <c r="H25" i="12"/>
  <c r="H20" i="12"/>
  <c r="H21" i="12"/>
  <c r="H22" i="12"/>
  <c r="H29" i="12"/>
  <c r="E30" i="12"/>
  <c r="E16" i="12"/>
  <c r="H56" i="12"/>
  <c r="H55" i="12"/>
  <c r="H44" i="12"/>
  <c r="H43" i="12"/>
  <c r="H12" i="12"/>
  <c r="H8" i="12"/>
  <c r="H7" i="12"/>
  <c r="D75" i="12"/>
  <c r="G75" i="12" s="1"/>
  <c r="D76" i="12"/>
  <c r="G76" i="12" s="1"/>
  <c r="D77" i="12"/>
  <c r="G77" i="12" s="1"/>
  <c r="D78" i="12"/>
  <c r="G78" i="12" s="1"/>
  <c r="D79" i="12"/>
  <c r="G79" i="12" s="1"/>
  <c r="D74" i="12"/>
  <c r="G74" i="12" s="1"/>
  <c r="D85" i="12"/>
  <c r="G85" i="12" s="1"/>
  <c r="D86" i="12"/>
  <c r="G86" i="12" s="1"/>
  <c r="D87" i="12"/>
  <c r="G87" i="12" s="1"/>
  <c r="D88" i="12"/>
  <c r="G88" i="12" s="1"/>
  <c r="D89" i="12"/>
  <c r="G89" i="12" s="1"/>
  <c r="D84" i="12"/>
  <c r="G84" i="12" s="1"/>
  <c r="H17" i="5"/>
  <c r="A139" i="32"/>
  <c r="A143" i="32"/>
  <c r="A147" i="32"/>
  <c r="A151" i="32"/>
  <c r="A158" i="32"/>
  <c r="A163" i="32"/>
  <c r="AB50" i="51"/>
  <c r="AC50" i="51"/>
  <c r="G38" i="5"/>
  <c r="G34" i="5"/>
  <c r="G36" i="5"/>
  <c r="C82" i="51"/>
  <c r="D82" i="51"/>
  <c r="H82" i="51"/>
  <c r="J82" i="51"/>
  <c r="K82" i="51"/>
  <c r="L82" i="51"/>
  <c r="M82" i="51"/>
  <c r="N82" i="51"/>
  <c r="O82" i="51"/>
  <c r="P82" i="51"/>
  <c r="Q82" i="51"/>
  <c r="R82" i="51"/>
  <c r="S82" i="51"/>
  <c r="T82" i="51"/>
  <c r="AA82" i="51"/>
  <c r="AB82" i="51"/>
  <c r="AC82" i="51"/>
  <c r="D43" i="5"/>
  <c r="C12" i="2" s="1"/>
  <c r="C15" i="2" s="1"/>
  <c r="F15" i="8"/>
  <c r="F16" i="8"/>
  <c r="E34" i="1"/>
  <c r="G21" i="8" s="1"/>
  <c r="F19" i="8"/>
  <c r="G12" i="8"/>
  <c r="F20" i="8"/>
  <c r="F21" i="8"/>
  <c r="G24" i="8"/>
  <c r="F35" i="8"/>
  <c r="F36" i="8"/>
  <c r="F39" i="8"/>
  <c r="G40" i="8"/>
  <c r="F40" i="8"/>
  <c r="F41" i="8"/>
  <c r="G52" i="8"/>
  <c r="E55" i="8"/>
  <c r="J55" i="8" s="1"/>
  <c r="F61" i="8"/>
  <c r="G61" i="8"/>
  <c r="G62" i="8" s="1"/>
  <c r="F62" i="8"/>
  <c r="S36" i="36"/>
  <c r="H115" i="12" s="1"/>
  <c r="I115" i="12" s="1"/>
  <c r="F78" i="8"/>
  <c r="F79" i="8"/>
  <c r="F82" i="8"/>
  <c r="G75" i="8"/>
  <c r="F83" i="8"/>
  <c r="F84" i="8"/>
  <c r="G86" i="8"/>
  <c r="H21" i="1"/>
  <c r="F96" i="8"/>
  <c r="F97" i="8"/>
  <c r="H34" i="1"/>
  <c r="F100" i="8"/>
  <c r="G101" i="8"/>
  <c r="F101" i="8"/>
  <c r="F102" i="8"/>
  <c r="G114" i="8"/>
  <c r="E119" i="8"/>
  <c r="J119" i="8" s="1"/>
  <c r="F125" i="8"/>
  <c r="G125" i="8"/>
  <c r="G126" i="8" s="1"/>
  <c r="F126" i="8"/>
  <c r="E90" i="12"/>
  <c r="G17" i="5"/>
  <c r="G23" i="5"/>
  <c r="G24" i="5"/>
  <c r="D125" i="5"/>
  <c r="I111" i="32"/>
  <c r="I5" i="32"/>
  <c r="I9" i="32"/>
  <c r="I10" i="32"/>
  <c r="I13" i="32"/>
  <c r="I14" i="32"/>
  <c r="I17" i="32"/>
  <c r="I18" i="32"/>
  <c r="I19" i="32"/>
  <c r="I20" i="32"/>
  <c r="I21" i="32"/>
  <c r="I22" i="32"/>
  <c r="I25" i="32"/>
  <c r="I27" i="32"/>
  <c r="I28" i="32"/>
  <c r="I29" i="32"/>
  <c r="I30" i="32"/>
  <c r="I33" i="32"/>
  <c r="I34" i="32"/>
  <c r="I37" i="32"/>
  <c r="I38" i="32"/>
  <c r="I39" i="32"/>
  <c r="I40" i="32"/>
  <c r="I41" i="32"/>
  <c r="I42" i="32"/>
  <c r="I45" i="32"/>
  <c r="I46" i="32"/>
  <c r="I47" i="32"/>
  <c r="I48" i="32"/>
  <c r="I49" i="32"/>
  <c r="I50" i="32"/>
  <c r="I60" i="32"/>
  <c r="I61" i="32"/>
  <c r="I73" i="32"/>
  <c r="I74" i="32"/>
  <c r="I78" i="32"/>
  <c r="I79" i="32"/>
  <c r="I80" i="32"/>
  <c r="I86" i="32"/>
  <c r="I90" i="32"/>
  <c r="I93" i="32"/>
  <c r="I94" i="32"/>
  <c r="I95" i="32"/>
  <c r="I96" i="32"/>
  <c r="I97" i="32"/>
  <c r="I112" i="32"/>
  <c r="I116" i="32"/>
  <c r="I117" i="32"/>
  <c r="I118" i="32"/>
  <c r="I119" i="32"/>
  <c r="I120" i="32"/>
  <c r="I121" i="32"/>
  <c r="I5" i="24"/>
  <c r="I6" i="24"/>
  <c r="I7" i="24"/>
  <c r="I8" i="24"/>
  <c r="I11" i="24"/>
  <c r="I12" i="24"/>
  <c r="I13" i="24"/>
  <c r="F170" i="36"/>
  <c r="D87" i="2" s="1"/>
  <c r="E133" i="36"/>
  <c r="D79" i="20"/>
  <c r="E73" i="20"/>
  <c r="D73" i="20"/>
  <c r="D45" i="23"/>
  <c r="E42" i="23"/>
  <c r="B46" i="23" s="1"/>
  <c r="D42" i="23"/>
  <c r="D39" i="23"/>
  <c r="D35" i="23"/>
  <c r="D19" i="23"/>
  <c r="D15" i="23"/>
  <c r="D10" i="23"/>
  <c r="A39" i="23"/>
  <c r="E36" i="23"/>
  <c r="D36" i="23"/>
  <c r="A35" i="23"/>
  <c r="E28" i="23"/>
  <c r="D28" i="23"/>
  <c r="A27" i="23"/>
  <c r="E20" i="23"/>
  <c r="D20" i="23"/>
  <c r="A19" i="23"/>
  <c r="E16" i="23"/>
  <c r="D16" i="23"/>
  <c r="A15" i="23"/>
  <c r="E11" i="23"/>
  <c r="D11" i="23"/>
  <c r="A10" i="23"/>
  <c r="E3" i="23"/>
  <c r="F2" i="23" s="1"/>
  <c r="D3" i="23"/>
  <c r="I93" i="24"/>
  <c r="I94" i="24"/>
  <c r="I95" i="24"/>
  <c r="I96" i="24"/>
  <c r="I69" i="24"/>
  <c r="I70" i="24"/>
  <c r="I60" i="24"/>
  <c r="I61" i="24"/>
  <c r="I62" i="24"/>
  <c r="I63" i="24"/>
  <c r="I64" i="24"/>
  <c r="I50" i="24"/>
  <c r="I51" i="24"/>
  <c r="I52" i="24"/>
  <c r="I53" i="24"/>
  <c r="I54" i="24"/>
  <c r="I45" i="24"/>
  <c r="I41" i="24"/>
  <c r="I37" i="24"/>
  <c r="I28" i="24"/>
  <c r="I29" i="24"/>
  <c r="I30" i="24"/>
  <c r="I31" i="24"/>
  <c r="I21" i="24"/>
  <c r="I22" i="24"/>
  <c r="I23" i="24"/>
  <c r="I24" i="24"/>
  <c r="I14" i="24"/>
  <c r="I15" i="24"/>
  <c r="I133" i="32"/>
  <c r="E140" i="32"/>
  <c r="I140" i="32" s="1"/>
  <c r="I141" i="32"/>
  <c r="I142" i="32"/>
  <c r="I145" i="32"/>
  <c r="I146" i="32"/>
  <c r="I149" i="32"/>
  <c r="I150" i="32"/>
  <c r="E148" i="32"/>
  <c r="E144" i="32"/>
  <c r="D62" i="32"/>
  <c r="D11" i="32"/>
  <c r="D6" i="32"/>
  <c r="A105" i="32"/>
  <c r="E99" i="32"/>
  <c r="D99" i="32"/>
  <c r="A98" i="32"/>
  <c r="E92" i="32"/>
  <c r="D92" i="32"/>
  <c r="A91" i="32"/>
  <c r="E88" i="32"/>
  <c r="D88" i="32"/>
  <c r="A109" i="32"/>
  <c r="E106" i="32"/>
  <c r="A87" i="32"/>
  <c r="E82" i="32"/>
  <c r="A81" i="32"/>
  <c r="E76" i="32"/>
  <c r="D76" i="32"/>
  <c r="A75" i="32"/>
  <c r="E72" i="32"/>
  <c r="D72" i="32"/>
  <c r="A71" i="32"/>
  <c r="E63" i="32"/>
  <c r="D63" i="32"/>
  <c r="A62" i="32"/>
  <c r="E59" i="32"/>
  <c r="A58" i="32"/>
  <c r="E52" i="32"/>
  <c r="D52" i="32"/>
  <c r="A51" i="32"/>
  <c r="E44" i="32"/>
  <c r="D44" i="32"/>
  <c r="A43" i="32"/>
  <c r="E36" i="32"/>
  <c r="A35" i="32"/>
  <c r="E32" i="32"/>
  <c r="D32" i="32"/>
  <c r="A31" i="32"/>
  <c r="E24" i="32"/>
  <c r="D24" i="32"/>
  <c r="D16" i="32"/>
  <c r="E16" i="32"/>
  <c r="A23" i="32"/>
  <c r="E83" i="24"/>
  <c r="D83" i="24"/>
  <c r="E58" i="24"/>
  <c r="D58" i="24"/>
  <c r="E146" i="36"/>
  <c r="E139" i="36"/>
  <c r="E114" i="36"/>
  <c r="E104" i="36"/>
  <c r="E93" i="36"/>
  <c r="E166" i="36"/>
  <c r="B174" i="36" s="1"/>
  <c r="E160" i="36"/>
  <c r="E154" i="36"/>
  <c r="E121" i="36"/>
  <c r="E83" i="36"/>
  <c r="F82" i="36" s="1"/>
  <c r="D92" i="20"/>
  <c r="D59" i="20"/>
  <c r="D52" i="20"/>
  <c r="D39" i="20"/>
  <c r="D26" i="20"/>
  <c r="D63" i="20"/>
  <c r="D72" i="20"/>
  <c r="D109" i="20"/>
  <c r="D129" i="20"/>
  <c r="A117" i="20"/>
  <c r="A123" i="20"/>
  <c r="A124" i="20" s="1"/>
  <c r="A125" i="20" s="1"/>
  <c r="A126" i="20" s="1"/>
  <c r="A127" i="20" s="1"/>
  <c r="A119" i="20"/>
  <c r="A120" i="20" s="1"/>
  <c r="A95" i="20"/>
  <c r="A96" i="20" s="1"/>
  <c r="A97" i="20" s="1"/>
  <c r="A98" i="20" s="1"/>
  <c r="A99" i="20" s="1"/>
  <c r="A100" i="20" s="1"/>
  <c r="A101" i="20" s="1"/>
  <c r="A102" i="20" s="1"/>
  <c r="A103" i="20" s="1"/>
  <c r="A104" i="20" s="1"/>
  <c r="A105" i="20" s="1"/>
  <c r="A106" i="20" s="1"/>
  <c r="A107" i="20" s="1"/>
  <c r="A108" i="20" s="1"/>
  <c r="E93" i="20"/>
  <c r="D93" i="20"/>
  <c r="A23" i="20"/>
  <c r="A24" i="20" s="1"/>
  <c r="A25" i="20" s="1"/>
  <c r="A55" i="20"/>
  <c r="A56" i="20" s="1"/>
  <c r="A57" i="20" s="1"/>
  <c r="A42" i="20"/>
  <c r="A43" i="20" s="1"/>
  <c r="A44" i="20" s="1"/>
  <c r="A45" i="20" s="1"/>
  <c r="A46" i="20" s="1"/>
  <c r="A47" i="20" s="1"/>
  <c r="A51" i="20"/>
  <c r="A49" i="20"/>
  <c r="E40" i="20"/>
  <c r="D40" i="20"/>
  <c r="A35" i="20"/>
  <c r="A36" i="20" s="1"/>
  <c r="E33" i="20"/>
  <c r="D33" i="20"/>
  <c r="H24" i="5"/>
  <c r="A121" i="12"/>
  <c r="A141" i="12"/>
  <c r="U31" i="36"/>
  <c r="U35" i="36"/>
  <c r="A113" i="12"/>
  <c r="L100" i="12"/>
  <c r="L107" i="12"/>
  <c r="L118" i="12"/>
  <c r="L147" i="12"/>
  <c r="I111" i="12"/>
  <c r="H111" i="12"/>
  <c r="I95" i="12"/>
  <c r="H77" i="12"/>
  <c r="H78" i="12"/>
  <c r="H79" i="12"/>
  <c r="H74" i="12"/>
  <c r="H75" i="12"/>
  <c r="H76" i="12"/>
  <c r="H84" i="12"/>
  <c r="H85" i="12"/>
  <c r="H86" i="12"/>
  <c r="H87" i="12"/>
  <c r="H88" i="12"/>
  <c r="H89" i="12"/>
  <c r="H95" i="12"/>
  <c r="K90" i="12"/>
  <c r="E80" i="12"/>
  <c r="K80" i="12" s="1"/>
  <c r="H40" i="12"/>
  <c r="H41" i="12"/>
  <c r="H42" i="12"/>
  <c r="H45" i="12"/>
  <c r="H49" i="12"/>
  <c r="H54" i="12"/>
  <c r="H57" i="12"/>
  <c r="H58" i="12"/>
  <c r="H61" i="12"/>
  <c r="H62" i="12"/>
  <c r="H63" i="12"/>
  <c r="E64" i="12"/>
  <c r="K64" i="12" s="1"/>
  <c r="E50" i="12"/>
  <c r="K50" i="12" s="1"/>
  <c r="H6" i="12"/>
  <c r="H13" i="12"/>
  <c r="H14" i="12"/>
  <c r="H15" i="12"/>
  <c r="A81" i="12"/>
  <c r="A70" i="12"/>
  <c r="A36" i="12"/>
  <c r="A51" i="12"/>
  <c r="X69" i="52"/>
  <c r="A100" i="51"/>
  <c r="A101" i="51" s="1"/>
  <c r="A102" i="51" s="1"/>
  <c r="CC77" i="52"/>
  <c r="CD77" i="52"/>
  <c r="CE77" i="52"/>
  <c r="BW77" i="52"/>
  <c r="BX77" i="52"/>
  <c r="BK77" i="52"/>
  <c r="AI110" i="52"/>
  <c r="AN77" i="52"/>
  <c r="AS77" i="52"/>
  <c r="C69" i="52"/>
  <c r="E69" i="52"/>
  <c r="L69" i="52"/>
  <c r="N69" i="52"/>
  <c r="P69" i="52"/>
  <c r="S69" i="52"/>
  <c r="T69" i="52"/>
  <c r="U69" i="52"/>
  <c r="AJ69" i="52"/>
  <c r="AL69" i="52"/>
  <c r="AN69" i="52"/>
  <c r="AP69" i="52"/>
  <c r="AS69" i="52"/>
  <c r="AT69" i="52"/>
  <c r="AU69" i="52"/>
  <c r="V69" i="52"/>
  <c r="Z69" i="52"/>
  <c r="AD69" i="52"/>
  <c r="AG69" i="52"/>
  <c r="AH69" i="52"/>
  <c r="AI69" i="52"/>
  <c r="BW69" i="52"/>
  <c r="BX69" i="52"/>
  <c r="BY69" i="52"/>
  <c r="BZ69" i="52"/>
  <c r="CA69" i="52"/>
  <c r="CB69" i="52"/>
  <c r="CC69" i="52"/>
  <c r="CD69" i="52"/>
  <c r="CE69" i="52"/>
  <c r="CF69" i="52"/>
  <c r="CG69" i="52"/>
  <c r="BK69" i="52"/>
  <c r="BL69" i="52"/>
  <c r="BM69" i="52"/>
  <c r="G70" i="5"/>
  <c r="F71" i="5"/>
  <c r="G71" i="5" s="1"/>
  <c r="G81" i="5"/>
  <c r="F32" i="2" s="1"/>
  <c r="G56" i="5"/>
  <c r="F19" i="2" s="1"/>
  <c r="F21" i="2" s="1"/>
  <c r="G96" i="5"/>
  <c r="F47" i="2" s="1"/>
  <c r="D97" i="5"/>
  <c r="D108" i="5" s="1"/>
  <c r="F79" i="36"/>
  <c r="A17" i="12"/>
  <c r="A2" i="12"/>
  <c r="AC112" i="51"/>
  <c r="AC113" i="51"/>
  <c r="AC114" i="51"/>
  <c r="AC98" i="51"/>
  <c r="AC103" i="51" s="1"/>
  <c r="AC73" i="51"/>
  <c r="AB112" i="51"/>
  <c r="AB113" i="51"/>
  <c r="AB114" i="51"/>
  <c r="D98" i="51"/>
  <c r="D103" i="51" s="1"/>
  <c r="E98" i="51"/>
  <c r="E103" i="51" s="1"/>
  <c r="F98" i="51"/>
  <c r="F103" i="51" s="1"/>
  <c r="G98" i="51"/>
  <c r="G103" i="51" s="1"/>
  <c r="H98" i="51"/>
  <c r="H103" i="51" s="1"/>
  <c r="I98" i="51"/>
  <c r="I103" i="51" s="1"/>
  <c r="J98" i="51"/>
  <c r="J103" i="51" s="1"/>
  <c r="K98" i="51"/>
  <c r="K103" i="51" s="1"/>
  <c r="L98" i="51"/>
  <c r="L103" i="51" s="1"/>
  <c r="M98" i="51"/>
  <c r="M103" i="51" s="1"/>
  <c r="N98" i="51"/>
  <c r="N103" i="51" s="1"/>
  <c r="O98" i="51"/>
  <c r="O103" i="51" s="1"/>
  <c r="P98" i="51"/>
  <c r="P103" i="51" s="1"/>
  <c r="Q98" i="51"/>
  <c r="Q103" i="51" s="1"/>
  <c r="R98" i="51"/>
  <c r="R103" i="51" s="1"/>
  <c r="S98" i="51"/>
  <c r="S103" i="51" s="1"/>
  <c r="T98" i="51"/>
  <c r="T103" i="51" s="1"/>
  <c r="AA98" i="51"/>
  <c r="AA103" i="51" s="1"/>
  <c r="AB98" i="51"/>
  <c r="AB103" i="51" s="1"/>
  <c r="C98" i="51"/>
  <c r="C103" i="51" s="1"/>
  <c r="J11" i="28"/>
  <c r="D82" i="5"/>
  <c r="F101" i="5"/>
  <c r="G93" i="5"/>
  <c r="F44" i="2" s="1"/>
  <c r="G94" i="5"/>
  <c r="F45" i="2" s="1"/>
  <c r="G95" i="5"/>
  <c r="F46" i="2" s="1"/>
  <c r="E77" i="5"/>
  <c r="D77" i="5"/>
  <c r="C28" i="2" s="1"/>
  <c r="D73" i="5"/>
  <c r="V57" i="52"/>
  <c r="V56" i="52"/>
  <c r="K11" i="28"/>
  <c r="E136" i="32" s="1"/>
  <c r="I136" i="32" s="1"/>
  <c r="K17" i="28"/>
  <c r="E137" i="32" s="1"/>
  <c r="I137" i="32" s="1"/>
  <c r="K23" i="28"/>
  <c r="B89" i="52"/>
  <c r="F31" i="1"/>
  <c r="E109" i="5"/>
  <c r="J23" i="28"/>
  <c r="J17" i="28"/>
  <c r="J6" i="28"/>
  <c r="F97" i="5"/>
  <c r="E48" i="2" s="1"/>
  <c r="D109" i="5"/>
  <c r="B101" i="51"/>
  <c r="A67" i="51"/>
  <c r="D92" i="5"/>
  <c r="D105" i="5"/>
  <c r="E92" i="5"/>
  <c r="E105" i="5"/>
  <c r="D55" i="2" s="1"/>
  <c r="D59" i="5"/>
  <c r="D53" i="5"/>
  <c r="E73" i="5"/>
  <c r="D27" i="2" s="1"/>
  <c r="E82" i="5"/>
  <c r="D33" i="2" s="1"/>
  <c r="E113" i="8"/>
  <c r="E126" i="8"/>
  <c r="F124" i="8"/>
  <c r="G20" i="8"/>
  <c r="F73" i="51"/>
  <c r="H51" i="53"/>
  <c r="H45" i="53"/>
  <c r="H36" i="53"/>
  <c r="C3" i="55"/>
  <c r="J93" i="8"/>
  <c r="G93" i="8"/>
  <c r="G83" i="8"/>
  <c r="G32" i="8"/>
  <c r="B44" i="55"/>
  <c r="C44" i="55"/>
  <c r="K6" i="1"/>
  <c r="N2" i="53"/>
  <c r="M2" i="53"/>
  <c r="B3" i="47"/>
  <c r="E6" i="47" s="1"/>
  <c r="B7" i="47"/>
  <c r="C7" i="47"/>
  <c r="F7" i="47"/>
  <c r="D8" i="47"/>
  <c r="F9" i="47"/>
  <c r="G9" i="47"/>
  <c r="H9" i="47" s="1"/>
  <c r="I9" i="47" s="1"/>
  <c r="D10" i="47"/>
  <c r="C11" i="47"/>
  <c r="F11" i="47"/>
  <c r="B13" i="47"/>
  <c r="F13" i="47"/>
  <c r="G13" i="47"/>
  <c r="D14" i="47"/>
  <c r="B15" i="47"/>
  <c r="E16" i="47"/>
  <c r="B17" i="47"/>
  <c r="F17" i="47"/>
  <c r="G17" i="47"/>
  <c r="D18" i="47"/>
  <c r="B19" i="47"/>
  <c r="G19" i="47"/>
  <c r="D20" i="47"/>
  <c r="E20" i="47"/>
  <c r="B21" i="47"/>
  <c r="C21" i="47"/>
  <c r="F21" i="47"/>
  <c r="E22" i="47"/>
  <c r="B23" i="47"/>
  <c r="C23" i="47"/>
  <c r="F23" i="47"/>
  <c r="G23" i="47"/>
  <c r="H23" i="47" s="1"/>
  <c r="I23" i="47" s="1"/>
  <c r="D24" i="47"/>
  <c r="C25" i="47"/>
  <c r="F25" i="47"/>
  <c r="G25" i="47"/>
  <c r="D26" i="47"/>
  <c r="E26" i="47"/>
  <c r="B27" i="47"/>
  <c r="G27" i="47"/>
  <c r="D28" i="47"/>
  <c r="E28" i="47"/>
  <c r="B29" i="47"/>
  <c r="C29" i="47"/>
  <c r="F29" i="47"/>
  <c r="E30" i="47"/>
  <c r="B31" i="47"/>
  <c r="C31" i="47"/>
  <c r="F31" i="47"/>
  <c r="G31" i="47"/>
  <c r="H31" i="47" s="1"/>
  <c r="I31" i="47" s="1"/>
  <c r="D32" i="47"/>
  <c r="C33" i="47"/>
  <c r="F33" i="47"/>
  <c r="G33" i="47"/>
  <c r="D34" i="47"/>
  <c r="E34" i="47"/>
  <c r="B35" i="47"/>
  <c r="G35" i="47"/>
  <c r="D36" i="47"/>
  <c r="E36" i="47"/>
  <c r="B37" i="47"/>
  <c r="C37" i="47"/>
  <c r="F37" i="47"/>
  <c r="E38" i="47"/>
  <c r="B39" i="47"/>
  <c r="C39" i="47"/>
  <c r="F39" i="47"/>
  <c r="G39" i="47"/>
  <c r="D40" i="47"/>
  <c r="C41" i="47"/>
  <c r="F41" i="47"/>
  <c r="G41" i="47"/>
  <c r="D42" i="47"/>
  <c r="E42" i="47"/>
  <c r="B43" i="47"/>
  <c r="G43" i="47"/>
  <c r="D44" i="47"/>
  <c r="E44" i="47"/>
  <c r="B45" i="47"/>
  <c r="C45" i="47"/>
  <c r="F45" i="47"/>
  <c r="E46" i="47"/>
  <c r="B47" i="47"/>
  <c r="C47" i="47"/>
  <c r="F47" i="47"/>
  <c r="G47" i="47"/>
  <c r="D48" i="47"/>
  <c r="C49" i="47"/>
  <c r="F49" i="47"/>
  <c r="G49" i="47"/>
  <c r="D50" i="47"/>
  <c r="E50" i="47"/>
  <c r="G50" i="47"/>
  <c r="E51" i="47"/>
  <c r="F51" i="47"/>
  <c r="G51" i="47"/>
  <c r="C52" i="47"/>
  <c r="D52" i="47"/>
  <c r="E52" i="47"/>
  <c r="G52" i="47"/>
  <c r="B53" i="47"/>
  <c r="C53" i="47"/>
  <c r="D53" i="47"/>
  <c r="E53" i="47"/>
  <c r="F53" i="47"/>
  <c r="G53" i="47"/>
  <c r="H53" i="47" s="1"/>
  <c r="I53" i="47" s="1"/>
  <c r="B54" i="47"/>
  <c r="C54" i="47"/>
  <c r="D54" i="47"/>
  <c r="E54" i="47"/>
  <c r="F54" i="47"/>
  <c r="G54" i="47"/>
  <c r="B55" i="47"/>
  <c r="C55" i="47"/>
  <c r="D55" i="47"/>
  <c r="E55" i="47"/>
  <c r="F55" i="47"/>
  <c r="G55" i="47"/>
  <c r="B56" i="47"/>
  <c r="C56" i="47"/>
  <c r="D56" i="47"/>
  <c r="E56" i="47"/>
  <c r="F56" i="47"/>
  <c r="G56" i="47"/>
  <c r="B57" i="47"/>
  <c r="C57" i="47"/>
  <c r="D57" i="47"/>
  <c r="E57" i="47"/>
  <c r="F57" i="47"/>
  <c r="G57" i="47"/>
  <c r="B58" i="47"/>
  <c r="C58" i="47"/>
  <c r="D58" i="47"/>
  <c r="E58" i="47"/>
  <c r="F58" i="47"/>
  <c r="G58" i="47"/>
  <c r="B59" i="47"/>
  <c r="C59" i="47"/>
  <c r="D59" i="47"/>
  <c r="E59" i="47"/>
  <c r="F59" i="47"/>
  <c r="G59" i="47"/>
  <c r="G5" i="47"/>
  <c r="C5" i="47"/>
  <c r="D5" i="47"/>
  <c r="E5" i="47"/>
  <c r="F5" i="47"/>
  <c r="B5" i="47"/>
  <c r="A41" i="55"/>
  <c r="V71" i="52"/>
  <c r="D31" i="1"/>
  <c r="D111" i="20" s="1"/>
  <c r="F70" i="53"/>
  <c r="C70" i="53"/>
  <c r="B66" i="53"/>
  <c r="F85" i="53"/>
  <c r="E85" i="53"/>
  <c r="D85" i="53"/>
  <c r="C85" i="53"/>
  <c r="B85" i="53"/>
  <c r="F76" i="36"/>
  <c r="M31" i="63" s="1"/>
  <c r="E76" i="36"/>
  <c r="J31" i="63" s="1"/>
  <c r="B70" i="52"/>
  <c r="CA71" i="52"/>
  <c r="BN71" i="52"/>
  <c r="BH71" i="52"/>
  <c r="C71" i="52"/>
  <c r="CA57" i="52"/>
  <c r="CA56" i="52"/>
  <c r="BN57" i="52"/>
  <c r="BN56" i="52"/>
  <c r="BH57" i="52"/>
  <c r="BH56" i="52"/>
  <c r="A55" i="52"/>
  <c r="A54" i="52"/>
  <c r="A83" i="51"/>
  <c r="A82" i="51"/>
  <c r="A68" i="51"/>
  <c r="A5" i="8"/>
  <c r="D3" i="24"/>
  <c r="E3" i="24"/>
  <c r="H2" i="24" s="1"/>
  <c r="D10" i="24"/>
  <c r="E10" i="24"/>
  <c r="D19" i="24"/>
  <c r="E19" i="24"/>
  <c r="D26" i="24"/>
  <c r="D35" i="24" s="1"/>
  <c r="D39" i="24" s="1"/>
  <c r="D43" i="24" s="1"/>
  <c r="D48" i="24" s="1"/>
  <c r="E26" i="24"/>
  <c r="E35" i="24" s="1"/>
  <c r="E39" i="24" s="1"/>
  <c r="E43" i="24" s="1"/>
  <c r="E48" i="24" s="1"/>
  <c r="D67" i="24"/>
  <c r="D73" i="51"/>
  <c r="E73" i="51"/>
  <c r="G73" i="51"/>
  <c r="H73" i="51"/>
  <c r="I73" i="51"/>
  <c r="J73" i="51"/>
  <c r="K73" i="51"/>
  <c r="L73" i="51"/>
  <c r="M73" i="51"/>
  <c r="N73" i="51"/>
  <c r="O73" i="51"/>
  <c r="P73" i="51"/>
  <c r="Q73" i="51"/>
  <c r="R73" i="51"/>
  <c r="S73" i="51"/>
  <c r="T73" i="51"/>
  <c r="AA73" i="51"/>
  <c r="AB73" i="51"/>
  <c r="C73" i="51"/>
  <c r="A61" i="2"/>
  <c r="E63" i="2"/>
  <c r="F63" i="2"/>
  <c r="D64" i="2"/>
  <c r="E64" i="2" s="1"/>
  <c r="F69" i="2" s="1"/>
  <c r="D65" i="2"/>
  <c r="E65" i="2" s="1"/>
  <c r="D66" i="2"/>
  <c r="E66" i="2"/>
  <c r="D68" i="2"/>
  <c r="E68" i="2"/>
  <c r="F68" i="2" s="1"/>
  <c r="A69" i="2"/>
  <c r="D80" i="2"/>
  <c r="D82" i="2"/>
  <c r="E67" i="24"/>
  <c r="D91" i="24"/>
  <c r="E91" i="24"/>
  <c r="D128" i="32"/>
  <c r="E128" i="32"/>
  <c r="D134" i="32"/>
  <c r="E134" i="32"/>
  <c r="D140" i="32"/>
  <c r="D144" i="32"/>
  <c r="D148" i="32"/>
  <c r="D155" i="32"/>
  <c r="E155" i="32"/>
  <c r="D160" i="32"/>
  <c r="E160" i="32"/>
  <c r="A88" i="8"/>
  <c r="B93" i="8"/>
  <c r="B75" i="8"/>
  <c r="B32" i="8"/>
  <c r="B12" i="8"/>
  <c r="A73" i="8"/>
  <c r="A30" i="8"/>
  <c r="A10" i="8"/>
  <c r="A68" i="8"/>
  <c r="A69" i="8"/>
  <c r="I71" i="8"/>
  <c r="I90" i="8"/>
  <c r="A91" i="8"/>
  <c r="B107" i="8"/>
  <c r="H107" i="8"/>
  <c r="F3" i="1"/>
  <c r="D17" i="1"/>
  <c r="E17" i="1"/>
  <c r="F17" i="1"/>
  <c r="G17" i="1"/>
  <c r="H17" i="1"/>
  <c r="D19" i="1"/>
  <c r="E19" i="1"/>
  <c r="G19" i="1"/>
  <c r="H19" i="1"/>
  <c r="D34" i="1"/>
  <c r="D37" i="1"/>
  <c r="E37" i="1"/>
  <c r="CH22" i="52"/>
  <c r="E2" i="5"/>
  <c r="D2" i="5"/>
  <c r="G3" i="1"/>
  <c r="H3" i="1"/>
  <c r="E4" i="2"/>
  <c r="D4" i="2" s="1"/>
  <c r="F4" i="2"/>
  <c r="C7" i="2"/>
  <c r="D7" i="2"/>
  <c r="A8" i="2"/>
  <c r="A9" i="2" s="1"/>
  <c r="A10" i="2" s="1"/>
  <c r="A12" i="2" s="1"/>
  <c r="A13" i="2" s="1"/>
  <c r="A14" i="2" s="1"/>
  <c r="A16" i="2" s="1"/>
  <c r="A17" i="2" s="1"/>
  <c r="A19" i="2" s="1"/>
  <c r="A20" i="2" s="1"/>
  <c r="A22" i="2" s="1"/>
  <c r="A23" i="2" s="1"/>
  <c r="A27" i="2" s="1"/>
  <c r="A28" i="2" s="1"/>
  <c r="A31" i="2" s="1"/>
  <c r="A32" i="2" s="1"/>
  <c r="A37" i="2" s="1"/>
  <c r="A38" i="2" s="1"/>
  <c r="A39" i="2" s="1"/>
  <c r="A40" i="2" s="1"/>
  <c r="A41" i="2" s="1"/>
  <c r="A42" i="2" s="1"/>
  <c r="A43" i="2" s="1"/>
  <c r="A44" i="2" s="1"/>
  <c r="A45" i="2" s="1"/>
  <c r="A46" i="2" s="1"/>
  <c r="A47" i="2" s="1"/>
  <c r="A48" i="2" s="1"/>
  <c r="A49" i="2" s="1"/>
  <c r="A50" i="2" s="1"/>
  <c r="A51" i="2" s="1"/>
  <c r="A52" i="2" s="1"/>
  <c r="A54" i="2" s="1"/>
  <c r="A55" i="2" s="1"/>
  <c r="A56" i="2" s="1"/>
  <c r="C8" i="2"/>
  <c r="D8" i="2"/>
  <c r="C9" i="2"/>
  <c r="D9" i="2"/>
  <c r="C10" i="2"/>
  <c r="D10" i="2"/>
  <c r="C13" i="2"/>
  <c r="D13" i="2"/>
  <c r="C14" i="2"/>
  <c r="D14" i="2"/>
  <c r="C16" i="2"/>
  <c r="C18" i="2" s="1"/>
  <c r="C19" i="2"/>
  <c r="D19" i="2"/>
  <c r="D21" i="2" s="1"/>
  <c r="C22" i="2"/>
  <c r="C31" i="2"/>
  <c r="D31" i="2"/>
  <c r="C32" i="2"/>
  <c r="D32" i="2"/>
  <c r="B37" i="2"/>
  <c r="C37" i="2"/>
  <c r="D37" i="2"/>
  <c r="B38" i="2"/>
  <c r="C38" i="2"/>
  <c r="D38" i="2"/>
  <c r="B39" i="2"/>
  <c r="C39" i="2"/>
  <c r="D39" i="2"/>
  <c r="B40" i="2"/>
  <c r="C40" i="2"/>
  <c r="D40" i="2"/>
  <c r="E40" i="2"/>
  <c r="F40" i="2"/>
  <c r="B41" i="2"/>
  <c r="C41" i="2"/>
  <c r="D41" i="2"/>
  <c r="E41" i="2"/>
  <c r="F41" i="2"/>
  <c r="B42" i="2"/>
  <c r="C42" i="2"/>
  <c r="D42" i="2"/>
  <c r="E42" i="2"/>
  <c r="F42" i="2"/>
  <c r="B43" i="2"/>
  <c r="B44" i="2"/>
  <c r="C44" i="2"/>
  <c r="D44" i="2"/>
  <c r="E44" i="2"/>
  <c r="B45" i="2"/>
  <c r="C45" i="2"/>
  <c r="D45" i="2"/>
  <c r="E45" i="2"/>
  <c r="B46" i="2"/>
  <c r="C46" i="2"/>
  <c r="D46" i="2"/>
  <c r="E46" i="2"/>
  <c r="B47" i="2"/>
  <c r="C47" i="2"/>
  <c r="D47" i="2"/>
  <c r="B48" i="2"/>
  <c r="B49" i="2"/>
  <c r="B50" i="2"/>
  <c r="B51" i="2"/>
  <c r="C51" i="2"/>
  <c r="D51" i="2"/>
  <c r="B52" i="2"/>
  <c r="C52" i="2"/>
  <c r="D52" i="2"/>
  <c r="B53" i="2"/>
  <c r="C53" i="2"/>
  <c r="D53" i="2"/>
  <c r="B54" i="2"/>
  <c r="C54" i="2"/>
  <c r="D54" i="2"/>
  <c r="E54" i="2"/>
  <c r="B55" i="2"/>
  <c r="B56" i="2"/>
  <c r="B57" i="2"/>
  <c r="B4" i="3"/>
  <c r="C4" i="3"/>
  <c r="D4" i="3"/>
  <c r="E4" i="3"/>
  <c r="B8" i="3"/>
  <c r="C8" i="3"/>
  <c r="B5" i="3"/>
  <c r="C27" i="2"/>
  <c r="C33" i="2"/>
  <c r="C43" i="2"/>
  <c r="F54" i="2"/>
  <c r="C55" i="2"/>
  <c r="A6" i="8"/>
  <c r="I8" i="8"/>
  <c r="A26" i="8"/>
  <c r="I28" i="8"/>
  <c r="B45" i="8"/>
  <c r="H45" i="8"/>
  <c r="E51" i="8"/>
  <c r="F60" i="8"/>
  <c r="E62" i="8"/>
  <c r="D3" i="20"/>
  <c r="E3" i="20"/>
  <c r="A5" i="20"/>
  <c r="A6" i="20" s="1"/>
  <c r="A7" i="20" s="1"/>
  <c r="A8" i="20" s="1"/>
  <c r="A9" i="20" s="1"/>
  <c r="A10" i="20" s="1"/>
  <c r="A11" i="20" s="1"/>
  <c r="A12" i="20" s="1"/>
  <c r="A13" i="20" s="1"/>
  <c r="A14" i="20" s="1"/>
  <c r="A15" i="20" s="1"/>
  <c r="A16" i="20" s="1"/>
  <c r="A18" i="20" s="1"/>
  <c r="A19" i="20" s="1"/>
  <c r="A62" i="20"/>
  <c r="A66" i="20"/>
  <c r="A67" i="20" s="1"/>
  <c r="A68" i="20" s="1"/>
  <c r="A69" i="20" s="1"/>
  <c r="A70" i="20" s="1"/>
  <c r="A71" i="20" s="1"/>
  <c r="D21" i="20"/>
  <c r="E21" i="20"/>
  <c r="D27" i="20"/>
  <c r="E27" i="20"/>
  <c r="D32" i="20"/>
  <c r="D53" i="20"/>
  <c r="E53" i="20"/>
  <c r="D60" i="20"/>
  <c r="E60" i="20"/>
  <c r="D64" i="20"/>
  <c r="E64" i="20"/>
  <c r="D80" i="20"/>
  <c r="E80" i="20"/>
  <c r="D86" i="20"/>
  <c r="D87" i="20"/>
  <c r="E87" i="20"/>
  <c r="D110" i="20"/>
  <c r="E110" i="20"/>
  <c r="D115" i="20"/>
  <c r="E115" i="20"/>
  <c r="C6" i="28"/>
  <c r="C11" i="28"/>
  <c r="C17" i="28"/>
  <c r="I17" i="28"/>
  <c r="C23" i="28"/>
  <c r="I23" i="28"/>
  <c r="D3" i="32"/>
  <c r="E3" i="32"/>
  <c r="H2" i="32" s="1"/>
  <c r="A6" i="32"/>
  <c r="D7" i="32"/>
  <c r="A11" i="32"/>
  <c r="D12" i="32"/>
  <c r="E12" i="32"/>
  <c r="A15" i="32"/>
  <c r="D110" i="32"/>
  <c r="E110" i="32"/>
  <c r="D114" i="32"/>
  <c r="E114" i="32"/>
  <c r="A122" i="32"/>
  <c r="B2" i="47"/>
  <c r="H2" i="47"/>
  <c r="H59" i="47" s="1"/>
  <c r="I59" i="47" s="1"/>
  <c r="H57" i="47"/>
  <c r="I57" i="47" s="1"/>
  <c r="H47" i="47"/>
  <c r="I47" i="47" s="1"/>
  <c r="A82" i="20"/>
  <c r="A83" i="20" s="1"/>
  <c r="A84" i="20" s="1"/>
  <c r="A85" i="20" s="1"/>
  <c r="A89" i="20"/>
  <c r="A90" i="20" s="1"/>
  <c r="A91" i="20" s="1"/>
  <c r="C6" i="2"/>
  <c r="B10" i="3"/>
  <c r="F100" i="5"/>
  <c r="C5" i="2"/>
  <c r="B9" i="3"/>
  <c r="E47" i="2"/>
  <c r="F8" i="2"/>
  <c r="E8" i="2"/>
  <c r="D10" i="3" l="1"/>
  <c r="H64" i="12"/>
  <c r="G64" i="12"/>
  <c r="E10" i="3"/>
  <c r="G16" i="5"/>
  <c r="H30" i="12"/>
  <c r="G30" i="12"/>
  <c r="G16" i="12"/>
  <c r="F115" i="20"/>
  <c r="F40" i="20"/>
  <c r="F93" i="20"/>
  <c r="F33" i="20"/>
  <c r="F27" i="20"/>
  <c r="F110" i="20"/>
  <c r="F3" i="20"/>
  <c r="F3" i="24" s="1"/>
  <c r="F10" i="24" s="1"/>
  <c r="F80" i="20"/>
  <c r="B131" i="20"/>
  <c r="F64" i="20"/>
  <c r="F2" i="20"/>
  <c r="F2" i="24" s="1"/>
  <c r="F2" i="32" s="1"/>
  <c r="F60" i="20"/>
  <c r="B130" i="20"/>
  <c r="F53" i="20"/>
  <c r="F21" i="20"/>
  <c r="F73" i="20"/>
  <c r="F87" i="20"/>
  <c r="I135" i="32"/>
  <c r="E139" i="32"/>
  <c r="F74" i="5" s="1"/>
  <c r="E98" i="24"/>
  <c r="F52" i="5"/>
  <c r="E56" i="24"/>
  <c r="F49" i="5" s="1"/>
  <c r="G49" i="5" s="1"/>
  <c r="E33" i="24"/>
  <c r="F48" i="5" s="1"/>
  <c r="G48" i="5" s="1"/>
  <c r="D128" i="5"/>
  <c r="E128" i="5"/>
  <c r="E14" i="2"/>
  <c r="I85" i="32"/>
  <c r="E39" i="2"/>
  <c r="G73" i="5"/>
  <c r="F27" i="2" s="1"/>
  <c r="B124" i="32"/>
  <c r="B125" i="32"/>
  <c r="G64" i="5"/>
  <c r="E37" i="2"/>
  <c r="D48" i="2"/>
  <c r="E31" i="2"/>
  <c r="G80" i="5"/>
  <c r="G40" i="5"/>
  <c r="F14" i="2" s="1"/>
  <c r="G58" i="5"/>
  <c r="AZ23" i="52"/>
  <c r="BG23" i="52"/>
  <c r="AY23" i="52"/>
  <c r="BF23" i="52"/>
  <c r="AX23" i="52"/>
  <c r="BE23" i="52"/>
  <c r="AW23" i="52"/>
  <c r="BD23" i="52"/>
  <c r="AV23" i="52"/>
  <c r="BC23" i="52"/>
  <c r="BB23" i="52"/>
  <c r="BA23" i="52"/>
  <c r="Z17" i="51"/>
  <c r="E84" i="32"/>
  <c r="I84" i="32" s="1"/>
  <c r="E111" i="20"/>
  <c r="E112" i="20" s="1"/>
  <c r="E113" i="20" s="1"/>
  <c r="F39" i="5" s="1"/>
  <c r="C111" i="20"/>
  <c r="E4" i="5"/>
  <c r="BU23" i="52"/>
  <c r="BI23" i="52"/>
  <c r="BQ23" i="52"/>
  <c r="BS23" i="52"/>
  <c r="BO23" i="52"/>
  <c r="E6" i="2"/>
  <c r="C23" i="2"/>
  <c r="C20" i="2"/>
  <c r="C21" i="2"/>
  <c r="C48" i="2"/>
  <c r="H55" i="47"/>
  <c r="I55" i="47" s="1"/>
  <c r="H17" i="47"/>
  <c r="I17" i="47" s="1"/>
  <c r="G84" i="8"/>
  <c r="A94" i="12"/>
  <c r="U17" i="51"/>
  <c r="U22" i="51" s="1"/>
  <c r="U121" i="51" s="1"/>
  <c r="G23" i="52"/>
  <c r="J23" i="52"/>
  <c r="L89" i="51"/>
  <c r="L156" i="51"/>
  <c r="C15" i="47"/>
  <c r="B11" i="47"/>
  <c r="D6" i="47"/>
  <c r="J32" i="8"/>
  <c r="G102" i="8"/>
  <c r="I102" i="8" s="1"/>
  <c r="N89" i="51"/>
  <c r="N156" i="51"/>
  <c r="G15" i="8"/>
  <c r="G6" i="8"/>
  <c r="C11" i="2"/>
  <c r="F6" i="2"/>
  <c r="E38" i="2"/>
  <c r="AP110" i="52"/>
  <c r="AP77" i="52"/>
  <c r="AC110" i="52"/>
  <c r="AC77" i="52"/>
  <c r="E110" i="52"/>
  <c r="E77" i="52"/>
  <c r="D110" i="52"/>
  <c r="D77" i="52"/>
  <c r="R110" i="52"/>
  <c r="R77" i="52"/>
  <c r="BJ110" i="52"/>
  <c r="BJ77" i="52"/>
  <c r="BV110" i="52"/>
  <c r="BV77" i="52"/>
  <c r="BT23" i="52"/>
  <c r="BR23" i="52"/>
  <c r="F156" i="51"/>
  <c r="F89" i="51"/>
  <c r="Q110" i="52"/>
  <c r="AA110" i="52"/>
  <c r="H110" i="52"/>
  <c r="H101" i="52"/>
  <c r="H105" i="52"/>
  <c r="H106" i="52"/>
  <c r="BH110" i="52"/>
  <c r="D105" i="52"/>
  <c r="D106" i="52"/>
  <c r="I110" i="52"/>
  <c r="AR110" i="52"/>
  <c r="G156" i="51"/>
  <c r="E156" i="51"/>
  <c r="G148" i="51"/>
  <c r="AA156" i="51"/>
  <c r="Q156" i="51"/>
  <c r="M156" i="51"/>
  <c r="E32" i="1"/>
  <c r="D12" i="8" s="1"/>
  <c r="I19" i="8" s="1"/>
  <c r="P168" i="51"/>
  <c r="I168" i="51"/>
  <c r="Q148" i="51"/>
  <c r="O168" i="51"/>
  <c r="F168" i="51"/>
  <c r="D168" i="51"/>
  <c r="AA168" i="51"/>
  <c r="H168" i="51"/>
  <c r="D148" i="51"/>
  <c r="T168" i="51"/>
  <c r="M168" i="51"/>
  <c r="S168" i="51"/>
  <c r="C168" i="51"/>
  <c r="G168" i="51"/>
  <c r="E168" i="51"/>
  <c r="R168" i="51"/>
  <c r="K168" i="51"/>
  <c r="Q168" i="51"/>
  <c r="J168" i="51"/>
  <c r="AC168" i="51"/>
  <c r="AB168" i="51"/>
  <c r="AN110" i="52"/>
  <c r="K110" i="52"/>
  <c r="AB110" i="52"/>
  <c r="AE110" i="52"/>
  <c r="W110" i="52"/>
  <c r="CA110" i="52"/>
  <c r="Y110" i="52"/>
  <c r="C110" i="52"/>
  <c r="CG110" i="52"/>
  <c r="BP110" i="52"/>
  <c r="CC110" i="52"/>
  <c r="BZ110" i="52"/>
  <c r="BM110" i="52"/>
  <c r="BK110" i="52"/>
  <c r="V110" i="52"/>
  <c r="CE110" i="52"/>
  <c r="BX110" i="52"/>
  <c r="AD110" i="52"/>
  <c r="BI110" i="52"/>
  <c r="AK110" i="52"/>
  <c r="BN110" i="52"/>
  <c r="AM110" i="52"/>
  <c r="AU110" i="52"/>
  <c r="AS110" i="52"/>
  <c r="CD110" i="52"/>
  <c r="AO110" i="52"/>
  <c r="F110" i="52"/>
  <c r="BW110" i="52"/>
  <c r="CD105" i="52"/>
  <c r="CD106" i="52"/>
  <c r="U101" i="52"/>
  <c r="U106" i="52"/>
  <c r="U105" i="52"/>
  <c r="AU101" i="52"/>
  <c r="AU106" i="52"/>
  <c r="AU105" i="52"/>
  <c r="AD101" i="52"/>
  <c r="AD106" i="52"/>
  <c r="AD105" i="52"/>
  <c r="AJ110" i="52"/>
  <c r="BI106" i="52"/>
  <c r="BI105" i="52"/>
  <c r="BI101" i="52"/>
  <c r="CB106" i="52"/>
  <c r="CB105" i="52"/>
  <c r="M101" i="52"/>
  <c r="M106" i="52"/>
  <c r="M105" i="52"/>
  <c r="AO106" i="52"/>
  <c r="AO105" i="52"/>
  <c r="AO101" i="52"/>
  <c r="N110" i="52"/>
  <c r="X105" i="52"/>
  <c r="X101" i="52"/>
  <c r="X106" i="52"/>
  <c r="F101" i="52"/>
  <c r="F106" i="52"/>
  <c r="F105" i="52"/>
  <c r="X110" i="52"/>
  <c r="BX106" i="52"/>
  <c r="BX105" i="52"/>
  <c r="CG106" i="52"/>
  <c r="CG105" i="52"/>
  <c r="AT101" i="52"/>
  <c r="AT106" i="52"/>
  <c r="AT105" i="52"/>
  <c r="AB106" i="52"/>
  <c r="AB105" i="52"/>
  <c r="AB101" i="52"/>
  <c r="AJ106" i="52"/>
  <c r="AJ105" i="52"/>
  <c r="AJ101" i="52"/>
  <c r="CB110" i="52"/>
  <c r="W106" i="52"/>
  <c r="W105" i="52"/>
  <c r="R106" i="52"/>
  <c r="R105" i="52"/>
  <c r="R101" i="52"/>
  <c r="AC106" i="52"/>
  <c r="AC105" i="52"/>
  <c r="AC101" i="52"/>
  <c r="L110" i="52"/>
  <c r="Y106" i="52"/>
  <c r="Y105" i="52"/>
  <c r="Y101" i="52"/>
  <c r="BW106" i="52"/>
  <c r="BW105" i="52"/>
  <c r="AS106" i="52"/>
  <c r="AS105" i="52"/>
  <c r="AS101" i="52"/>
  <c r="CF106" i="52"/>
  <c r="CF105" i="52"/>
  <c r="AI106" i="52"/>
  <c r="AI105" i="52"/>
  <c r="AI101" i="52"/>
  <c r="V106" i="52"/>
  <c r="V105" i="52"/>
  <c r="Z110" i="52"/>
  <c r="BN101" i="52"/>
  <c r="BN106" i="52"/>
  <c r="BN105" i="52"/>
  <c r="O110" i="52"/>
  <c r="AK106" i="52"/>
  <c r="AK105" i="52"/>
  <c r="AK101" i="52"/>
  <c r="AQ110" i="52"/>
  <c r="E101" i="52"/>
  <c r="E106" i="52"/>
  <c r="E105" i="52"/>
  <c r="CF110" i="52"/>
  <c r="BJ106" i="52"/>
  <c r="BJ105" i="52"/>
  <c r="BJ101" i="52"/>
  <c r="AP106" i="52"/>
  <c r="AP105" i="52"/>
  <c r="AP101" i="52"/>
  <c r="BZ106" i="52"/>
  <c r="BZ105" i="52"/>
  <c r="AH106" i="52"/>
  <c r="AH105" i="52"/>
  <c r="AH101" i="52"/>
  <c r="Z106" i="52"/>
  <c r="Z105" i="52"/>
  <c r="Z101" i="52"/>
  <c r="O101" i="52"/>
  <c r="O106" i="52"/>
  <c r="O105" i="52"/>
  <c r="AQ106" i="52"/>
  <c r="AQ105" i="52"/>
  <c r="AQ101" i="52"/>
  <c r="L101" i="52"/>
  <c r="L106" i="52"/>
  <c r="L105" i="52"/>
  <c r="BY110" i="52"/>
  <c r="AT110" i="52"/>
  <c r="AN105" i="52"/>
  <c r="AN106" i="52"/>
  <c r="AN101" i="52"/>
  <c r="BY106" i="52"/>
  <c r="BY105" i="52"/>
  <c r="AG110" i="52"/>
  <c r="AL110" i="52"/>
  <c r="BP106" i="52"/>
  <c r="BP105" i="52"/>
  <c r="AE101" i="52"/>
  <c r="AE106" i="52"/>
  <c r="AE105" i="52"/>
  <c r="C105" i="52"/>
  <c r="C106" i="52"/>
  <c r="K106" i="52"/>
  <c r="K105" i="52"/>
  <c r="K101" i="52"/>
  <c r="BL110" i="52"/>
  <c r="S106" i="52"/>
  <c r="S105" i="52"/>
  <c r="S101" i="52"/>
  <c r="BM106" i="52"/>
  <c r="BM105" i="52"/>
  <c r="BM101" i="52"/>
  <c r="CC106" i="52"/>
  <c r="CC105" i="52"/>
  <c r="AL101" i="52"/>
  <c r="AL106" i="52"/>
  <c r="AL105" i="52"/>
  <c r="AM101" i="52"/>
  <c r="AM106" i="52"/>
  <c r="AM105" i="52"/>
  <c r="T101" i="52"/>
  <c r="T106" i="52"/>
  <c r="T105" i="52"/>
  <c r="U110" i="52"/>
  <c r="CE106" i="52"/>
  <c r="CE105" i="52"/>
  <c r="P105" i="52"/>
  <c r="P101" i="52"/>
  <c r="P106" i="52"/>
  <c r="BL106" i="52"/>
  <c r="BL105" i="52"/>
  <c r="BL101" i="52"/>
  <c r="BV105" i="52"/>
  <c r="BV106" i="52"/>
  <c r="BH105" i="52"/>
  <c r="BH101" i="52"/>
  <c r="BH106" i="52"/>
  <c r="CA106" i="52"/>
  <c r="CA105" i="52"/>
  <c r="Q106" i="52"/>
  <c r="Q105" i="52"/>
  <c r="Q101" i="52"/>
  <c r="AA106" i="52"/>
  <c r="AA105" i="52"/>
  <c r="AA101" i="52"/>
  <c r="AF110" i="52"/>
  <c r="AR106" i="52"/>
  <c r="AR105" i="52"/>
  <c r="AR101" i="52"/>
  <c r="S110" i="52"/>
  <c r="I106" i="52"/>
  <c r="I105" i="52"/>
  <c r="I101" i="52"/>
  <c r="T110" i="52"/>
  <c r="N101" i="52"/>
  <c r="N106" i="52"/>
  <c r="N105" i="52"/>
  <c r="BK106" i="52"/>
  <c r="BK105" i="52"/>
  <c r="BK101" i="52"/>
  <c r="AG106" i="52"/>
  <c r="AG105" i="52"/>
  <c r="AG101" i="52"/>
  <c r="M110" i="52"/>
  <c r="AF105" i="52"/>
  <c r="AF101" i="52"/>
  <c r="AF106" i="52"/>
  <c r="P110" i="52"/>
  <c r="AH110" i="52"/>
  <c r="H156" i="51"/>
  <c r="F148" i="51"/>
  <c r="E148" i="51"/>
  <c r="AC121" i="51"/>
  <c r="AC131" i="51"/>
  <c r="AC127" i="51"/>
  <c r="AC118" i="51"/>
  <c r="O99" i="51"/>
  <c r="O100" i="51" s="1"/>
  <c r="P148" i="51"/>
  <c r="H148" i="51"/>
  <c r="D156" i="51"/>
  <c r="AB118" i="51"/>
  <c r="AB121" i="51"/>
  <c r="AB131" i="51"/>
  <c r="AB127" i="51"/>
  <c r="T156" i="51"/>
  <c r="P156" i="51"/>
  <c r="O148" i="51"/>
  <c r="D99" i="51"/>
  <c r="D101" i="51" s="1"/>
  <c r="I148" i="51"/>
  <c r="S156" i="51"/>
  <c r="O156" i="51"/>
  <c r="K156" i="51"/>
  <c r="AA148" i="51"/>
  <c r="M148" i="51"/>
  <c r="C156" i="51"/>
  <c r="S99" i="51"/>
  <c r="S101" i="51" s="1"/>
  <c r="T148" i="51"/>
  <c r="C101" i="51"/>
  <c r="G99" i="51"/>
  <c r="G101" i="51" s="1"/>
  <c r="E99" i="51"/>
  <c r="E101" i="51" s="1"/>
  <c r="I156" i="51"/>
  <c r="R156" i="51"/>
  <c r="J156" i="51"/>
  <c r="S148" i="51"/>
  <c r="K148" i="51"/>
  <c r="C148" i="51"/>
  <c r="AC156" i="51"/>
  <c r="R148" i="51"/>
  <c r="J148" i="51"/>
  <c r="E83" i="32"/>
  <c r="H42" i="1"/>
  <c r="D42" i="1"/>
  <c r="E42" i="1"/>
  <c r="F42" i="1"/>
  <c r="G42" i="1"/>
  <c r="J8" i="8"/>
  <c r="K6" i="8" s="1"/>
  <c r="G41" i="8"/>
  <c r="I41" i="8" s="1"/>
  <c r="J12" i="8"/>
  <c r="I21" i="8" s="1"/>
  <c r="H50" i="47"/>
  <c r="I50" i="47" s="1"/>
  <c r="D98" i="5"/>
  <c r="H58" i="47"/>
  <c r="I58" i="47" s="1"/>
  <c r="H54" i="47"/>
  <c r="I54" i="47" s="1"/>
  <c r="H51" i="47"/>
  <c r="I51" i="47" s="1"/>
  <c r="H49" i="47"/>
  <c r="I49" i="47" s="1"/>
  <c r="H41" i="47"/>
  <c r="I41" i="47" s="1"/>
  <c r="H33" i="47"/>
  <c r="I33" i="47" s="1"/>
  <c r="H25" i="47"/>
  <c r="I25" i="47" s="1"/>
  <c r="H13" i="47"/>
  <c r="I13" i="47" s="1"/>
  <c r="H5" i="47"/>
  <c r="I5" i="47" s="1"/>
  <c r="I151" i="32"/>
  <c r="E163" i="36" s="1"/>
  <c r="D11" i="2"/>
  <c r="I84" i="8"/>
  <c r="C51" i="47"/>
  <c r="B49" i="47"/>
  <c r="D46" i="47"/>
  <c r="F43" i="47"/>
  <c r="B41" i="47"/>
  <c r="D38" i="47"/>
  <c r="F35" i="47"/>
  <c r="B33" i="47"/>
  <c r="D30" i="47"/>
  <c r="F27" i="47"/>
  <c r="B25" i="47"/>
  <c r="D22" i="47"/>
  <c r="F19" i="47"/>
  <c r="D16" i="47"/>
  <c r="E12" i="47"/>
  <c r="B9" i="47"/>
  <c r="H39" i="47"/>
  <c r="I39" i="47" s="1"/>
  <c r="I2" i="47"/>
  <c r="H56" i="47"/>
  <c r="I56" i="47" s="1"/>
  <c r="H52" i="47"/>
  <c r="I52" i="47" s="1"/>
  <c r="B51" i="47"/>
  <c r="E48" i="47"/>
  <c r="G45" i="47"/>
  <c r="H45" i="47" s="1"/>
  <c r="I45" i="47" s="1"/>
  <c r="C43" i="47"/>
  <c r="E40" i="47"/>
  <c r="G37" i="47"/>
  <c r="H37" i="47" s="1"/>
  <c r="I37" i="47" s="1"/>
  <c r="C35" i="47"/>
  <c r="E32" i="47"/>
  <c r="G29" i="47"/>
  <c r="H29" i="47" s="1"/>
  <c r="I29" i="47" s="1"/>
  <c r="C27" i="47"/>
  <c r="E24" i="47"/>
  <c r="G21" i="47"/>
  <c r="H21" i="47" s="1"/>
  <c r="I21" i="47" s="1"/>
  <c r="C19" i="47"/>
  <c r="F15" i="47"/>
  <c r="D12" i="47"/>
  <c r="E8" i="47"/>
  <c r="F50" i="8"/>
  <c r="E52" i="8"/>
  <c r="J52" i="8" s="1"/>
  <c r="G16" i="8"/>
  <c r="E50" i="8"/>
  <c r="K16" i="12"/>
  <c r="H50" i="8"/>
  <c r="G50" i="8"/>
  <c r="K89" i="52"/>
  <c r="E161" i="36"/>
  <c r="H37" i="1"/>
  <c r="G37" i="1"/>
  <c r="G52" i="5"/>
  <c r="F92" i="5"/>
  <c r="E43" i="2" s="1"/>
  <c r="D78" i="5"/>
  <c r="C29" i="2"/>
  <c r="C24" i="2"/>
  <c r="C17" i="2"/>
  <c r="AT89" i="52"/>
  <c r="AI89" i="52"/>
  <c r="AH89" i="52"/>
  <c r="M17" i="51"/>
  <c r="M22" i="51" s="1"/>
  <c r="M121" i="51" s="1"/>
  <c r="Y17" i="51"/>
  <c r="Y22" i="51" s="1"/>
  <c r="Y121" i="51" s="1"/>
  <c r="S23" i="52"/>
  <c r="AT23" i="52"/>
  <c r="V23" i="52"/>
  <c r="X17" i="51"/>
  <c r="X22" i="51" s="1"/>
  <c r="X121" i="51" s="1"/>
  <c r="W17" i="51"/>
  <c r="W22" i="51" s="1"/>
  <c r="W121" i="51" s="1"/>
  <c r="V17" i="51"/>
  <c r="V22" i="51" s="1"/>
  <c r="V121" i="51" s="1"/>
  <c r="S17" i="51"/>
  <c r="S22" i="51" s="1"/>
  <c r="S121" i="51" s="1"/>
  <c r="I83" i="8"/>
  <c r="I40" i="8"/>
  <c r="C10" i="3"/>
  <c r="D32" i="1"/>
  <c r="BJ23" i="52"/>
  <c r="BL23" i="52"/>
  <c r="I17" i="51"/>
  <c r="I22" i="51" s="1"/>
  <c r="I121" i="51" s="1"/>
  <c r="BV23" i="52"/>
  <c r="BZ23" i="52"/>
  <c r="O17" i="51"/>
  <c r="O22" i="51" s="1"/>
  <c r="O121" i="51" s="1"/>
  <c r="N23" i="52"/>
  <c r="CG23" i="52"/>
  <c r="F88" i="52"/>
  <c r="J125" i="8"/>
  <c r="F65" i="2"/>
  <c r="F64" i="2"/>
  <c r="M99" i="51"/>
  <c r="M101" i="51" s="1"/>
  <c r="K99" i="51"/>
  <c r="K101" i="51" s="1"/>
  <c r="I99" i="51"/>
  <c r="I100" i="51" s="1"/>
  <c r="L99" i="51"/>
  <c r="L101" i="51" s="1"/>
  <c r="AB17" i="51"/>
  <c r="R17" i="51"/>
  <c r="R22" i="51" s="1"/>
  <c r="R121" i="51" s="1"/>
  <c r="BX23" i="52"/>
  <c r="CC23" i="52"/>
  <c r="P23" i="52"/>
  <c r="BK23" i="52"/>
  <c r="BY23" i="52"/>
  <c r="CF23" i="52"/>
  <c r="AP23" i="52"/>
  <c r="N17" i="51"/>
  <c r="N22" i="51" s="1"/>
  <c r="N121" i="51" s="1"/>
  <c r="J17" i="51"/>
  <c r="T99" i="51"/>
  <c r="T101" i="51" s="1"/>
  <c r="AA99" i="51"/>
  <c r="AA100" i="51" s="1"/>
  <c r="Q99" i="51"/>
  <c r="Q101" i="51" s="1"/>
  <c r="J99" i="51"/>
  <c r="J101" i="51" s="1"/>
  <c r="F99" i="51"/>
  <c r="F101" i="51" s="1"/>
  <c r="T17" i="51"/>
  <c r="T22" i="51" s="1"/>
  <c r="T121" i="51" s="1"/>
  <c r="L23" i="52"/>
  <c r="AH23" i="52"/>
  <c r="BM23" i="52"/>
  <c r="CE23" i="52"/>
  <c r="AU23" i="52"/>
  <c r="AS23" i="52"/>
  <c r="L17" i="51"/>
  <c r="L22" i="51" s="1"/>
  <c r="L121" i="51" s="1"/>
  <c r="BP23" i="52"/>
  <c r="P99" i="51"/>
  <c r="P101" i="51" s="1"/>
  <c r="AC101" i="51"/>
  <c r="N99" i="51"/>
  <c r="N101" i="51" s="1"/>
  <c r="P17" i="51"/>
  <c r="P22" i="51" s="1"/>
  <c r="P121" i="51" s="1"/>
  <c r="U23" i="52"/>
  <c r="D17" i="51"/>
  <c r="Q17" i="51"/>
  <c r="Q22" i="51" s="1"/>
  <c r="Q121" i="51" s="1"/>
  <c r="AA17" i="51"/>
  <c r="AA22" i="51" s="1"/>
  <c r="AA121" i="51" s="1"/>
  <c r="T23" i="52"/>
  <c r="CB23" i="52"/>
  <c r="AI23" i="52"/>
  <c r="BW23" i="52"/>
  <c r="CD23" i="52"/>
  <c r="AC17" i="51"/>
  <c r="AN23" i="52"/>
  <c r="K17" i="51"/>
  <c r="K22" i="51" s="1"/>
  <c r="K121" i="51" s="1"/>
  <c r="CA23" i="52"/>
  <c r="BN23" i="52"/>
  <c r="AB101" i="51"/>
  <c r="R99" i="51"/>
  <c r="R101" i="51" s="1"/>
  <c r="H99" i="51"/>
  <c r="H101" i="51" s="1"/>
  <c r="AB53" i="51"/>
  <c r="AB156" i="51" s="1"/>
  <c r="B100" i="51"/>
  <c r="W89" i="52"/>
  <c r="AQ89" i="52"/>
  <c r="C4" i="2"/>
  <c r="F82" i="5"/>
  <c r="E33" i="2" s="1"/>
  <c r="E32" i="2"/>
  <c r="BZ89" i="52"/>
  <c r="BZ88" i="52"/>
  <c r="F37" i="2"/>
  <c r="G92" i="5"/>
  <c r="E51" i="2"/>
  <c r="G100" i="5"/>
  <c r="F51" i="2" s="1"/>
  <c r="E78" i="5"/>
  <c r="D28" i="2"/>
  <c r="D29" i="2" s="1"/>
  <c r="G101" i="5"/>
  <c r="F52" i="2" s="1"/>
  <c r="E52" i="2"/>
  <c r="E66" i="53"/>
  <c r="F66" i="53"/>
  <c r="D66" i="53"/>
  <c r="C66" i="53"/>
  <c r="H80" i="12"/>
  <c r="E98" i="5"/>
  <c r="D43" i="2"/>
  <c r="E90" i="2"/>
  <c r="D66" i="5"/>
  <c r="F73" i="5"/>
  <c r="E27" i="2" s="1"/>
  <c r="U88" i="52"/>
  <c r="U89" i="52"/>
  <c r="BY89" i="52"/>
  <c r="BY88" i="52"/>
  <c r="A110" i="12"/>
  <c r="I101" i="8"/>
  <c r="J62" i="8"/>
  <c r="A22" i="36"/>
  <c r="E70" i="53"/>
  <c r="CG89" i="52"/>
  <c r="BM89" i="52"/>
  <c r="BM88" i="52"/>
  <c r="H90" i="12"/>
  <c r="G31" i="1"/>
  <c r="O88" i="52"/>
  <c r="AU89" i="52"/>
  <c r="H19" i="47"/>
  <c r="I19" i="47" s="1"/>
  <c r="H27" i="47"/>
  <c r="I27" i="47" s="1"/>
  <c r="H35" i="47"/>
  <c r="I35" i="47" s="1"/>
  <c r="H43" i="47"/>
  <c r="I43" i="47" s="1"/>
  <c r="J25" i="28"/>
  <c r="E132" i="5" s="1"/>
  <c r="G97" i="5"/>
  <c r="F48" i="2" s="1"/>
  <c r="CF89" i="52"/>
  <c r="BL89" i="52"/>
  <c r="BL88" i="52"/>
  <c r="A30" i="36"/>
  <c r="G47" i="5"/>
  <c r="T88" i="52"/>
  <c r="T89" i="52"/>
  <c r="D112" i="20"/>
  <c r="AM89" i="52"/>
  <c r="O89" i="52"/>
  <c r="AN89" i="52"/>
  <c r="BK89" i="52"/>
  <c r="BK88" i="52"/>
  <c r="H50" i="12"/>
  <c r="G90" i="12"/>
  <c r="D70" i="53"/>
  <c r="E18" i="47"/>
  <c r="C17" i="47"/>
  <c r="G15" i="47"/>
  <c r="H15" i="47" s="1"/>
  <c r="I15" i="47" s="1"/>
  <c r="E14" i="47"/>
  <c r="C13" i="47"/>
  <c r="G11" i="47"/>
  <c r="H11" i="47" s="1"/>
  <c r="I11" i="47" s="1"/>
  <c r="E10" i="47"/>
  <c r="C9" i="47"/>
  <c r="G7" i="47"/>
  <c r="H7" i="47" s="1"/>
  <c r="I7" i="47" s="1"/>
  <c r="K26" i="28"/>
  <c r="E138" i="32"/>
  <c r="I138" i="32" s="1"/>
  <c r="I139" i="32" s="1"/>
  <c r="E162" i="36" s="1"/>
  <c r="G57" i="5"/>
  <c r="G76" i="5"/>
  <c r="CG71" i="52"/>
  <c r="F56" i="5" s="1"/>
  <c r="E19" i="2" s="1"/>
  <c r="E21" i="2" s="1"/>
  <c r="AI71" i="52"/>
  <c r="U71" i="52"/>
  <c r="F34" i="5" s="1"/>
  <c r="H34" i="5" s="1"/>
  <c r="CD89" i="52"/>
  <c r="CD88" i="52"/>
  <c r="H16" i="12"/>
  <c r="B6" i="47"/>
  <c r="F6" i="47"/>
  <c r="D7" i="47"/>
  <c r="B8" i="47"/>
  <c r="F8" i="47"/>
  <c r="D9" i="47"/>
  <c r="B10" i="47"/>
  <c r="F10" i="47"/>
  <c r="D11" i="47"/>
  <c r="B12" i="47"/>
  <c r="F12" i="47"/>
  <c r="D13" i="47"/>
  <c r="B14" i="47"/>
  <c r="F14" i="47"/>
  <c r="D15" i="47"/>
  <c r="B16" i="47"/>
  <c r="F16" i="47"/>
  <c r="D17" i="47"/>
  <c r="B18" i="47"/>
  <c r="F18" i="47"/>
  <c r="D19" i="47"/>
  <c r="B20" i="47"/>
  <c r="F20" i="47"/>
  <c r="D21" i="47"/>
  <c r="B22" i="47"/>
  <c r="F22" i="47"/>
  <c r="D23" i="47"/>
  <c r="B24" i="47"/>
  <c r="F24" i="47"/>
  <c r="D25" i="47"/>
  <c r="B26" i="47"/>
  <c r="F26" i="47"/>
  <c r="D27" i="47"/>
  <c r="B28" i="47"/>
  <c r="F28" i="47"/>
  <c r="D29" i="47"/>
  <c r="B30" i="47"/>
  <c r="F30" i="47"/>
  <c r="D31" i="47"/>
  <c r="B32" i="47"/>
  <c r="F32" i="47"/>
  <c r="D33" i="47"/>
  <c r="B34" i="47"/>
  <c r="F34" i="47"/>
  <c r="D35" i="47"/>
  <c r="B36" i="47"/>
  <c r="F36" i="47"/>
  <c r="D37" i="47"/>
  <c r="B38" i="47"/>
  <c r="F38" i="47"/>
  <c r="D39" i="47"/>
  <c r="B40" i="47"/>
  <c r="F40" i="47"/>
  <c r="D41" i="47"/>
  <c r="B42" i="47"/>
  <c r="F42" i="47"/>
  <c r="D43" i="47"/>
  <c r="B44" i="47"/>
  <c r="F44" i="47"/>
  <c r="D45" i="47"/>
  <c r="B46" i="47"/>
  <c r="F46" i="47"/>
  <c r="D47" i="47"/>
  <c r="B48" i="47"/>
  <c r="F48" i="47"/>
  <c r="D49" i="47"/>
  <c r="B50" i="47"/>
  <c r="F50" i="47"/>
  <c r="D51" i="47"/>
  <c r="B52" i="47"/>
  <c r="F52" i="47"/>
  <c r="C6" i="47"/>
  <c r="G6" i="47"/>
  <c r="H6" i="47" s="1"/>
  <c r="I6" i="47" s="1"/>
  <c r="E7" i="47"/>
  <c r="C8" i="47"/>
  <c r="G8" i="47"/>
  <c r="H8" i="47" s="1"/>
  <c r="I8" i="47" s="1"/>
  <c r="E9" i="47"/>
  <c r="C10" i="47"/>
  <c r="G10" i="47"/>
  <c r="H10" i="47" s="1"/>
  <c r="I10" i="47" s="1"/>
  <c r="E11" i="47"/>
  <c r="C12" i="47"/>
  <c r="G12" i="47"/>
  <c r="H12" i="47" s="1"/>
  <c r="I12" i="47" s="1"/>
  <c r="E13" i="47"/>
  <c r="C14" i="47"/>
  <c r="G14" i="47"/>
  <c r="H14" i="47" s="1"/>
  <c r="I14" i="47" s="1"/>
  <c r="E15" i="47"/>
  <c r="C16" i="47"/>
  <c r="G16" i="47"/>
  <c r="H16" i="47" s="1"/>
  <c r="I16" i="47" s="1"/>
  <c r="E17" i="47"/>
  <c r="C18" i="47"/>
  <c r="G18" i="47"/>
  <c r="H18" i="47" s="1"/>
  <c r="I18" i="47" s="1"/>
  <c r="E19" i="47"/>
  <c r="C20" i="47"/>
  <c r="G20" i="47"/>
  <c r="H20" i="47" s="1"/>
  <c r="I20" i="47" s="1"/>
  <c r="E21" i="47"/>
  <c r="C22" i="47"/>
  <c r="G22" i="47"/>
  <c r="H22" i="47" s="1"/>
  <c r="I22" i="47" s="1"/>
  <c r="E23" i="47"/>
  <c r="C24" i="47"/>
  <c r="G24" i="47"/>
  <c r="H24" i="47" s="1"/>
  <c r="I24" i="47" s="1"/>
  <c r="E25" i="47"/>
  <c r="C26" i="47"/>
  <c r="G26" i="47"/>
  <c r="H26" i="47" s="1"/>
  <c r="I26" i="47" s="1"/>
  <c r="E27" i="47"/>
  <c r="C28" i="47"/>
  <c r="G28" i="47"/>
  <c r="H28" i="47" s="1"/>
  <c r="I28" i="47" s="1"/>
  <c r="E29" i="47"/>
  <c r="C30" i="47"/>
  <c r="G30" i="47"/>
  <c r="H30" i="47" s="1"/>
  <c r="I30" i="47" s="1"/>
  <c r="E31" i="47"/>
  <c r="C32" i="47"/>
  <c r="G32" i="47"/>
  <c r="H32" i="47" s="1"/>
  <c r="I32" i="47" s="1"/>
  <c r="E33" i="47"/>
  <c r="C34" i="47"/>
  <c r="G34" i="47"/>
  <c r="H34" i="47" s="1"/>
  <c r="I34" i="47" s="1"/>
  <c r="E35" i="47"/>
  <c r="C36" i="47"/>
  <c r="G36" i="47"/>
  <c r="H36" i="47" s="1"/>
  <c r="I36" i="47" s="1"/>
  <c r="E37" i="47"/>
  <c r="C38" i="47"/>
  <c r="G38" i="47"/>
  <c r="H38" i="47" s="1"/>
  <c r="I38" i="47" s="1"/>
  <c r="E39" i="47"/>
  <c r="C40" i="47"/>
  <c r="G40" i="47"/>
  <c r="H40" i="47" s="1"/>
  <c r="I40" i="47" s="1"/>
  <c r="E41" i="47"/>
  <c r="C42" i="47"/>
  <c r="G42" i="47"/>
  <c r="H42" i="47" s="1"/>
  <c r="I42" i="47" s="1"/>
  <c r="E43" i="47"/>
  <c r="C44" i="47"/>
  <c r="G44" i="47"/>
  <c r="H44" i="47" s="1"/>
  <c r="I44" i="47" s="1"/>
  <c r="E45" i="47"/>
  <c r="C46" i="47"/>
  <c r="G46" i="47"/>
  <c r="H46" i="47" s="1"/>
  <c r="I46" i="47" s="1"/>
  <c r="E47" i="47"/>
  <c r="C48" i="47"/>
  <c r="G48" i="47"/>
  <c r="H48" i="47" s="1"/>
  <c r="I48" i="47" s="1"/>
  <c r="E49" i="47"/>
  <c r="C50" i="47"/>
  <c r="G80" i="12"/>
  <c r="BX89" i="52"/>
  <c r="BX88" i="52"/>
  <c r="S88" i="52"/>
  <c r="S89" i="52"/>
  <c r="I97" i="24"/>
  <c r="E156" i="36" s="1"/>
  <c r="I9" i="24"/>
  <c r="E155" i="36" s="1"/>
  <c r="J61" i="8"/>
  <c r="AG89" i="52"/>
  <c r="E17" i="51"/>
  <c r="E22" i="51" s="1"/>
  <c r="E121" i="51" s="1"/>
  <c r="Y23" i="52"/>
  <c r="F23" i="52"/>
  <c r="AR23" i="52"/>
  <c r="AO23" i="52"/>
  <c r="AK23" i="52"/>
  <c r="AE23" i="52"/>
  <c r="AA23" i="52"/>
  <c r="Q23" i="52"/>
  <c r="G17" i="51"/>
  <c r="G22" i="51" s="1"/>
  <c r="G121" i="51" s="1"/>
  <c r="BH23" i="52"/>
  <c r="I23" i="52"/>
  <c r="C23" i="52"/>
  <c r="D23" i="52"/>
  <c r="E23" i="52"/>
  <c r="H23" i="52"/>
  <c r="AQ23" i="52"/>
  <c r="O23" i="52"/>
  <c r="H17" i="51"/>
  <c r="H22" i="51" s="1"/>
  <c r="H121" i="51" s="1"/>
  <c r="X23" i="52"/>
  <c r="AC23" i="52"/>
  <c r="K23" i="52"/>
  <c r="AM23" i="52"/>
  <c r="R23" i="52"/>
  <c r="M23" i="52"/>
  <c r="W23" i="52"/>
  <c r="AD23" i="52"/>
  <c r="AL23" i="52"/>
  <c r="F17" i="51"/>
  <c r="F22" i="51" s="1"/>
  <c r="F121" i="51" s="1"/>
  <c r="AF23" i="52"/>
  <c r="AG23" i="52"/>
  <c r="Z23" i="52"/>
  <c r="AJ23" i="52"/>
  <c r="AB23" i="52"/>
  <c r="BW88" i="52"/>
  <c r="BW89" i="52"/>
  <c r="CE88" i="52"/>
  <c r="CE89" i="52"/>
  <c r="P89" i="52"/>
  <c r="P88" i="52"/>
  <c r="J126" i="8"/>
  <c r="Z89" i="52"/>
  <c r="AU71" i="52"/>
  <c r="J33" i="63" s="1"/>
  <c r="BJ88" i="52"/>
  <c r="BJ89" i="52"/>
  <c r="AP89" i="52"/>
  <c r="N88" i="52"/>
  <c r="N89" i="52"/>
  <c r="H31" i="1"/>
  <c r="I20" i="8"/>
  <c r="BM71" i="52"/>
  <c r="F62" i="5" s="1"/>
  <c r="G50" i="12"/>
  <c r="F41" i="5"/>
  <c r="AD89" i="52"/>
  <c r="CB89" i="52"/>
  <c r="CB88" i="52"/>
  <c r="C89" i="52"/>
  <c r="C88" i="52"/>
  <c r="CC88" i="52"/>
  <c r="CC89" i="52"/>
  <c r="AB89" i="52"/>
  <c r="AJ89" i="52"/>
  <c r="AL89" i="52"/>
  <c r="CA88" i="52"/>
  <c r="CA89" i="52"/>
  <c r="Q89" i="52"/>
  <c r="Q88" i="52"/>
  <c r="Y89" i="52"/>
  <c r="BV88" i="52"/>
  <c r="BV89" i="52"/>
  <c r="BH89" i="52"/>
  <c r="BH88" i="52"/>
  <c r="BI88" i="52"/>
  <c r="BI89" i="52"/>
  <c r="BN89" i="52"/>
  <c r="BN88" i="52"/>
  <c r="BP89" i="52"/>
  <c r="BP88" i="52"/>
  <c r="AR89" i="52"/>
  <c r="E88" i="52"/>
  <c r="E89" i="52"/>
  <c r="I88" i="52"/>
  <c r="I89" i="52"/>
  <c r="M88" i="52"/>
  <c r="M89" i="52"/>
  <c r="D89" i="52"/>
  <c r="D88" i="52"/>
  <c r="G51" i="5"/>
  <c r="R88" i="52"/>
  <c r="R89" i="52"/>
  <c r="AC89" i="52"/>
  <c r="AF89" i="52"/>
  <c r="L89" i="52"/>
  <c r="H89" i="52"/>
  <c r="H88" i="52"/>
  <c r="L88" i="52"/>
  <c r="F89" i="52"/>
  <c r="K88" i="52"/>
  <c r="X89" i="52"/>
  <c r="V89" i="52"/>
  <c r="AA89" i="52"/>
  <c r="AE89" i="52"/>
  <c r="AK89" i="52"/>
  <c r="AO89" i="52"/>
  <c r="AS89" i="52"/>
  <c r="F26" i="24" l="1"/>
  <c r="F35" i="24" s="1"/>
  <c r="F39" i="24" s="1"/>
  <c r="F43" i="24" s="1"/>
  <c r="F48" i="24" s="1"/>
  <c r="F58" i="24" s="1"/>
  <c r="F67" i="24" s="1"/>
  <c r="F73" i="24" s="1"/>
  <c r="F78" i="24" s="1"/>
  <c r="F83" i="24" s="1"/>
  <c r="F91" i="24" s="1"/>
  <c r="F19" i="24"/>
  <c r="I15" i="8"/>
  <c r="F83" i="32"/>
  <c r="F89" i="32"/>
  <c r="F91" i="32" s="1"/>
  <c r="F84" i="32"/>
  <c r="I83" i="32"/>
  <c r="E87" i="32"/>
  <c r="H41" i="5"/>
  <c r="G41" i="5"/>
  <c r="H40" i="5"/>
  <c r="D131" i="5"/>
  <c r="E131" i="5"/>
  <c r="D132" i="5"/>
  <c r="K30" i="12"/>
  <c r="CG90" i="52"/>
  <c r="F70" i="32" s="1"/>
  <c r="G82" i="5"/>
  <c r="F33" i="2" s="1"/>
  <c r="F31" i="2"/>
  <c r="E5" i="5"/>
  <c r="D5" i="2" s="1"/>
  <c r="C9" i="3"/>
  <c r="G91" i="12"/>
  <c r="J22" i="51"/>
  <c r="J121" i="51" s="1"/>
  <c r="AH18" i="51" s="1"/>
  <c r="G19" i="8"/>
  <c r="G100" i="51"/>
  <c r="G102" i="51" s="1"/>
  <c r="T100" i="51"/>
  <c r="T102" i="51" s="1"/>
  <c r="CO13" i="52"/>
  <c r="AU90" i="52"/>
  <c r="F67" i="32" s="1"/>
  <c r="K100" i="51"/>
  <c r="K102" i="51" s="1"/>
  <c r="O101" i="51"/>
  <c r="O102" i="51" s="1"/>
  <c r="E100" i="51"/>
  <c r="E102" i="51" s="1"/>
  <c r="I16" i="8"/>
  <c r="C100" i="51"/>
  <c r="C102" i="51" s="1"/>
  <c r="S100" i="51"/>
  <c r="S102" i="51" s="1"/>
  <c r="AB100" i="51"/>
  <c r="AB102" i="51" s="1"/>
  <c r="D100" i="51"/>
  <c r="D102" i="51" s="1"/>
  <c r="CX18" i="52"/>
  <c r="CR13" i="52"/>
  <c r="DA18" i="52"/>
  <c r="CX14" i="52"/>
  <c r="CX12" i="52"/>
  <c r="DD18" i="52"/>
  <c r="CU18" i="52"/>
  <c r="DD12" i="52"/>
  <c r="DD14" i="52"/>
  <c r="DA12" i="52"/>
  <c r="DA14" i="52"/>
  <c r="CU12" i="52"/>
  <c r="CU14" i="52"/>
  <c r="CR25" i="52"/>
  <c r="CO25" i="52"/>
  <c r="CR20" i="52"/>
  <c r="CR22" i="52"/>
  <c r="CO20" i="52"/>
  <c r="CO22" i="52"/>
  <c r="AH34" i="51"/>
  <c r="AH32" i="51"/>
  <c r="AH30" i="51"/>
  <c r="E122" i="51"/>
  <c r="H68" i="12"/>
  <c r="Q100" i="51"/>
  <c r="Q102" i="51" s="1"/>
  <c r="AC100" i="51"/>
  <c r="AC102" i="51" s="1"/>
  <c r="F164" i="36"/>
  <c r="D89" i="2" s="1"/>
  <c r="D99" i="5"/>
  <c r="C49" i="2"/>
  <c r="J49" i="8"/>
  <c r="K64" i="8" s="1"/>
  <c r="F13" i="5" s="1"/>
  <c r="F98" i="5"/>
  <c r="E49" i="2" s="1"/>
  <c r="I101" i="51"/>
  <c r="I102" i="51" s="1"/>
  <c r="H34" i="12"/>
  <c r="G36" i="8"/>
  <c r="I36" i="8" s="1"/>
  <c r="F4" i="5"/>
  <c r="E114" i="8"/>
  <c r="J114" i="8" s="1"/>
  <c r="G78" i="8"/>
  <c r="I78" i="8" s="1"/>
  <c r="G32" i="1"/>
  <c r="G35" i="8"/>
  <c r="I35" i="8" s="1"/>
  <c r="J28" i="8"/>
  <c r="C45" i="8" s="1"/>
  <c r="J71" i="8"/>
  <c r="H112" i="8" s="1"/>
  <c r="M100" i="51"/>
  <c r="M102" i="51" s="1"/>
  <c r="F100" i="51"/>
  <c r="F102" i="51" s="1"/>
  <c r="F10" i="5"/>
  <c r="G19" i="5"/>
  <c r="J21" i="8"/>
  <c r="F18" i="5"/>
  <c r="H18" i="5" s="1"/>
  <c r="R100" i="51"/>
  <c r="R102" i="51" s="1"/>
  <c r="L100" i="51"/>
  <c r="L102" i="51" s="1"/>
  <c r="N100" i="51"/>
  <c r="N102" i="51" s="1"/>
  <c r="J100" i="51"/>
  <c r="J102" i="51" s="1"/>
  <c r="AA101" i="51"/>
  <c r="H100" i="51"/>
  <c r="H102" i="51" s="1"/>
  <c r="P100" i="51"/>
  <c r="P102" i="51" s="1"/>
  <c r="D67" i="5"/>
  <c r="C25" i="2"/>
  <c r="B6" i="3"/>
  <c r="E99" i="5"/>
  <c r="D49" i="2"/>
  <c r="F152" i="32"/>
  <c r="I98" i="12"/>
  <c r="H91" i="12"/>
  <c r="G68" i="12"/>
  <c r="D113" i="20"/>
  <c r="G79" i="8"/>
  <c r="G69" i="8"/>
  <c r="G98" i="5"/>
  <c r="F49" i="2" s="1"/>
  <c r="F43" i="2"/>
  <c r="G34" i="12"/>
  <c r="I30" i="12"/>
  <c r="I34" i="12" s="1"/>
  <c r="F15" i="5" s="1"/>
  <c r="G4" i="5"/>
  <c r="H32" i="1"/>
  <c r="J90" i="8"/>
  <c r="G96" i="8"/>
  <c r="I96" i="8" s="1"/>
  <c r="I64" i="12"/>
  <c r="I68" i="12" s="1"/>
  <c r="F16" i="5" s="1"/>
  <c r="H16" i="5" s="1"/>
  <c r="AI90" i="52"/>
  <c r="F66" i="32" s="1"/>
  <c r="BM90" i="52"/>
  <c r="I90" i="12"/>
  <c r="I91" i="12" s="1"/>
  <c r="F17" i="5" s="1"/>
  <c r="U90" i="52"/>
  <c r="E59" i="5"/>
  <c r="D20" i="2" s="1"/>
  <c r="F36" i="5"/>
  <c r="H36" i="5" s="1"/>
  <c r="BZ90" i="52"/>
  <c r="E79" i="36"/>
  <c r="F38" i="5"/>
  <c r="H38" i="5" s="1"/>
  <c r="D74" i="2"/>
  <c r="H101" i="5" l="1"/>
  <c r="G15" i="5"/>
  <c r="E70" i="32"/>
  <c r="I70" i="32" s="1"/>
  <c r="F87" i="32"/>
  <c r="J16" i="8"/>
  <c r="K24" i="8" s="1"/>
  <c r="G82" i="8"/>
  <c r="G97" i="8" s="1"/>
  <c r="I97" i="8" s="1"/>
  <c r="J97" i="8" s="1"/>
  <c r="E69" i="32"/>
  <c r="I69" i="32" s="1"/>
  <c r="F69" i="32"/>
  <c r="E65" i="32"/>
  <c r="I65" i="32" s="1"/>
  <c r="F65" i="32"/>
  <c r="E68" i="32"/>
  <c r="I68" i="32" s="1"/>
  <c r="F68" i="32"/>
  <c r="E9" i="3"/>
  <c r="G18" i="5"/>
  <c r="I97" i="12"/>
  <c r="I108" i="12" s="1"/>
  <c r="G21" i="5" s="1"/>
  <c r="H108" i="12"/>
  <c r="F21" i="5" s="1"/>
  <c r="J34" i="63"/>
  <c r="K69" i="8"/>
  <c r="G112" i="8"/>
  <c r="F112" i="8"/>
  <c r="E112" i="8"/>
  <c r="J36" i="8"/>
  <c r="AD101" i="51"/>
  <c r="D106" i="5"/>
  <c r="C56" i="2" s="1"/>
  <c r="C50" i="2"/>
  <c r="H76" i="5"/>
  <c r="H80" i="5"/>
  <c r="H100" i="5"/>
  <c r="H71" i="5"/>
  <c r="F5" i="5"/>
  <c r="E5" i="2" s="1"/>
  <c r="H47" i="5"/>
  <c r="H57" i="5"/>
  <c r="H95" i="5"/>
  <c r="H52" i="5"/>
  <c r="H90" i="5"/>
  <c r="H98" i="5"/>
  <c r="H97" i="5"/>
  <c r="H104" i="5"/>
  <c r="H89" i="5"/>
  <c r="H5" i="5"/>
  <c r="I79" i="8"/>
  <c r="J79" i="8" s="1"/>
  <c r="H88" i="5"/>
  <c r="H50" i="5"/>
  <c r="H96" i="5"/>
  <c r="H62" i="5"/>
  <c r="H51" i="5"/>
  <c r="H58" i="5"/>
  <c r="H94" i="5"/>
  <c r="H81" i="5"/>
  <c r="H93" i="5"/>
  <c r="H56" i="5"/>
  <c r="D75" i="8"/>
  <c r="I82" i="8" s="1"/>
  <c r="J84" i="8" s="1"/>
  <c r="C107" i="8"/>
  <c r="H13" i="5"/>
  <c r="H49" i="5"/>
  <c r="H72" i="5"/>
  <c r="H91" i="5"/>
  <c r="H75" i="5"/>
  <c r="H87" i="5"/>
  <c r="H92" i="5"/>
  <c r="H86" i="5"/>
  <c r="H82" i="5"/>
  <c r="H48" i="5"/>
  <c r="D9" i="3"/>
  <c r="H64" i="5"/>
  <c r="H15" i="5"/>
  <c r="H73" i="5"/>
  <c r="H70" i="5"/>
  <c r="I89" i="32"/>
  <c r="G39" i="8"/>
  <c r="I39" i="8" s="1"/>
  <c r="J41" i="8" s="1"/>
  <c r="D32" i="8"/>
  <c r="H112" i="12"/>
  <c r="I112" i="12"/>
  <c r="I148" i="12" s="1"/>
  <c r="F25" i="5"/>
  <c r="H25" i="5" s="1"/>
  <c r="AD100" i="51"/>
  <c r="AA102" i="51"/>
  <c r="D79" i="5"/>
  <c r="D83" i="5" s="1"/>
  <c r="C26" i="2"/>
  <c r="C30" i="2" s="1"/>
  <c r="C34" i="2" s="1"/>
  <c r="B7" i="3"/>
  <c r="E106" i="5"/>
  <c r="D56" i="2" s="1"/>
  <c r="D50" i="2"/>
  <c r="E65" i="5"/>
  <c r="D22" i="2"/>
  <c r="D24" i="2" s="1"/>
  <c r="E53" i="5"/>
  <c r="D16" i="2"/>
  <c r="D18" i="2" s="1"/>
  <c r="E9" i="2"/>
  <c r="G100" i="8"/>
  <c r="I100" i="8" s="1"/>
  <c r="J102" i="8" s="1"/>
  <c r="D93" i="8"/>
  <c r="G5" i="5"/>
  <c r="F5" i="2" s="1"/>
  <c r="E66" i="32"/>
  <c r="D73" i="2"/>
  <c r="E67" i="32"/>
  <c r="I67" i="32" s="1"/>
  <c r="I66" i="32" l="1"/>
  <c r="E78" i="36"/>
  <c r="E13" i="2"/>
  <c r="G39" i="5"/>
  <c r="F13" i="2" s="1"/>
  <c r="H39" i="5"/>
  <c r="F77" i="5"/>
  <c r="H77" i="5" s="1"/>
  <c r="G74" i="5"/>
  <c r="H21" i="5"/>
  <c r="F9" i="2"/>
  <c r="G25" i="5"/>
  <c r="J111" i="8"/>
  <c r="K127" i="8" s="1"/>
  <c r="G13" i="5" s="1"/>
  <c r="K44" i="8"/>
  <c r="K45" i="8" s="1"/>
  <c r="F45" i="8" s="1"/>
  <c r="T113" i="51"/>
  <c r="AA21" i="51"/>
  <c r="X112" i="51"/>
  <c r="X113" i="51"/>
  <c r="H74" i="5"/>
  <c r="BJ26" i="52"/>
  <c r="CC26" i="52"/>
  <c r="AK26" i="52"/>
  <c r="AP26" i="52"/>
  <c r="BK26" i="52"/>
  <c r="BV26" i="52"/>
  <c r="AN26" i="52"/>
  <c r="AO26" i="52"/>
  <c r="BX26" i="52"/>
  <c r="M26" i="52"/>
  <c r="AM26" i="52"/>
  <c r="AG26" i="52"/>
  <c r="S26" i="52"/>
  <c r="O26" i="52"/>
  <c r="AS26" i="52"/>
  <c r="BW26" i="52"/>
  <c r="AF26" i="52"/>
  <c r="P26" i="52"/>
  <c r="AQ26" i="52"/>
  <c r="AE26" i="52"/>
  <c r="N26" i="52"/>
  <c r="AD26" i="52"/>
  <c r="AL26" i="52"/>
  <c r="AR26" i="52"/>
  <c r="L26" i="52"/>
  <c r="CE26" i="52"/>
  <c r="CD26" i="52"/>
  <c r="T112" i="51"/>
  <c r="AD102" i="51"/>
  <c r="K86" i="8"/>
  <c r="W112" i="51"/>
  <c r="W113" i="51"/>
  <c r="H148" i="12"/>
  <c r="F28" i="5" s="1"/>
  <c r="G26" i="5"/>
  <c r="P112" i="51"/>
  <c r="P113" i="51"/>
  <c r="Q113" i="51"/>
  <c r="Q112" i="51"/>
  <c r="N113" i="51"/>
  <c r="N112" i="51"/>
  <c r="O112" i="51"/>
  <c r="O113" i="51"/>
  <c r="L113" i="51"/>
  <c r="K105" i="8"/>
  <c r="D17" i="2"/>
  <c r="D23" i="2"/>
  <c r="S43" i="52" l="1"/>
  <c r="AQ43" i="52"/>
  <c r="AD43" i="52"/>
  <c r="BV43" i="52"/>
  <c r="N43" i="52"/>
  <c r="AG43" i="52"/>
  <c r="CC43" i="52"/>
  <c r="O43" i="52"/>
  <c r="BK43" i="52"/>
  <c r="AE43" i="52"/>
  <c r="AP43" i="52"/>
  <c r="AM43" i="52"/>
  <c r="AF43" i="52"/>
  <c r="BJ43" i="52"/>
  <c r="CD43" i="52"/>
  <c r="AK43" i="52"/>
  <c r="CE43" i="52"/>
  <c r="M43" i="52"/>
  <c r="BW43" i="52"/>
  <c r="AO43" i="52"/>
  <c r="P43" i="52"/>
  <c r="L43" i="52"/>
  <c r="BX43" i="52"/>
  <c r="AR43" i="52"/>
  <c r="AL43" i="52"/>
  <c r="AS43" i="52"/>
  <c r="AN43" i="52"/>
  <c r="AA124" i="51"/>
  <c r="E64" i="32"/>
  <c r="E71" i="32" s="1"/>
  <c r="F123" i="32" s="1"/>
  <c r="F63" i="5" s="1"/>
  <c r="E28" i="2"/>
  <c r="E29" i="2" s="1"/>
  <c r="F78" i="5"/>
  <c r="H78" i="5" s="1"/>
  <c r="G28" i="5"/>
  <c r="F12" i="5"/>
  <c r="H12" i="5" s="1"/>
  <c r="AA23" i="51"/>
  <c r="K107" i="8"/>
  <c r="G12" i="5" s="1"/>
  <c r="AO27" i="52"/>
  <c r="AP27" i="52"/>
  <c r="AL27" i="52"/>
  <c r="AE27" i="52"/>
  <c r="S27" i="52"/>
  <c r="AQ27" i="52"/>
  <c r="AS27" i="52"/>
  <c r="AG27" i="52"/>
  <c r="AN27" i="52"/>
  <c r="AK27" i="52"/>
  <c r="BW27" i="52"/>
  <c r="L27" i="52"/>
  <c r="AD27" i="52"/>
  <c r="P27" i="52"/>
  <c r="M27" i="52"/>
  <c r="BV27" i="52"/>
  <c r="CC27" i="52"/>
  <c r="AR27" i="52"/>
  <c r="N27" i="52"/>
  <c r="AF27" i="52"/>
  <c r="O27" i="52"/>
  <c r="AM27" i="52"/>
  <c r="BX27" i="52"/>
  <c r="BK27" i="52"/>
  <c r="BJ27" i="52"/>
  <c r="CD27" i="52"/>
  <c r="D84" i="52"/>
  <c r="D82" i="52"/>
  <c r="CE27" i="52"/>
  <c r="AA47" i="51" l="1"/>
  <c r="I64" i="32"/>
  <c r="I122" i="32" s="1"/>
  <c r="E157" i="36" s="1"/>
  <c r="F158" i="36" s="1"/>
  <c r="D85" i="2" s="1"/>
  <c r="E10" i="2"/>
  <c r="F10" i="2"/>
  <c r="H28" i="5"/>
  <c r="F107" i="8"/>
  <c r="E7" i="2"/>
  <c r="E11" i="2" s="1"/>
  <c r="F29" i="5"/>
  <c r="H29" i="5" s="1"/>
  <c r="BW97" i="52"/>
  <c r="AO97" i="52"/>
  <c r="CE97" i="52"/>
  <c r="N97" i="52"/>
  <c r="AD97" i="52"/>
  <c r="AK97" i="52"/>
  <c r="AG97" i="52"/>
  <c r="AQ97" i="52"/>
  <c r="AE97" i="52"/>
  <c r="BK97" i="52"/>
  <c r="BJ97" i="52"/>
  <c r="AM97" i="52"/>
  <c r="CC97" i="52"/>
  <c r="O97" i="52"/>
  <c r="AR97" i="52"/>
  <c r="L97" i="52"/>
  <c r="AL97" i="52"/>
  <c r="BV97" i="52"/>
  <c r="CD97" i="52"/>
  <c r="BX97" i="52"/>
  <c r="AF97" i="52"/>
  <c r="M97" i="52"/>
  <c r="P97" i="52"/>
  <c r="AN97" i="52"/>
  <c r="AS97" i="52"/>
  <c r="S97" i="52"/>
  <c r="AP97" i="52"/>
  <c r="AG154" i="51"/>
  <c r="AF150" i="51"/>
  <c r="AF156" i="51"/>
  <c r="AG160" i="51"/>
  <c r="AE82" i="52"/>
  <c r="AG82" i="52"/>
  <c r="AO82" i="52"/>
  <c r="AP82" i="52"/>
  <c r="AD82" i="52"/>
  <c r="N84" i="52"/>
  <c r="N82" i="52"/>
  <c r="BJ82" i="52"/>
  <c r="R82" i="52"/>
  <c r="R84" i="52"/>
  <c r="AN82" i="52"/>
  <c r="K82" i="52"/>
  <c r="K84" i="52"/>
  <c r="AQ82" i="52"/>
  <c r="BV82" i="52"/>
  <c r="O82" i="52"/>
  <c r="F7" i="2"/>
  <c r="F11" i="2" s="1"/>
  <c r="H63" i="5" l="1"/>
  <c r="G29" i="5"/>
  <c r="E5" i="3" s="1"/>
  <c r="D5" i="3"/>
  <c r="M84" i="52"/>
  <c r="BJ84" i="52"/>
  <c r="AS84" i="52"/>
  <c r="BV84" i="52"/>
  <c r="AP84" i="52"/>
  <c r="CC84" i="52"/>
  <c r="AE84" i="52"/>
  <c r="S82" i="52"/>
  <c r="AG84" i="52"/>
  <c r="AO84" i="52"/>
  <c r="CB84" i="52"/>
  <c r="AN84" i="52"/>
  <c r="AQ84" i="52"/>
  <c r="CA82" i="52"/>
  <c r="P84" i="52"/>
  <c r="BW84" i="52"/>
  <c r="BW82" i="52"/>
  <c r="AF84" i="52"/>
  <c r="BK84" i="52"/>
  <c r="BX84" i="52"/>
  <c r="O84" i="52"/>
  <c r="W84" i="52"/>
  <c r="AR84" i="52"/>
  <c r="AM84" i="52"/>
  <c r="AL84" i="52"/>
  <c r="Q82" i="52"/>
  <c r="BV69" i="52"/>
  <c r="CD84" i="52"/>
  <c r="W82" i="52"/>
  <c r="CB82" i="52"/>
  <c r="I82" i="52"/>
  <c r="I84" i="52"/>
  <c r="CD82" i="52"/>
  <c r="CC82" i="52"/>
  <c r="BX82" i="52"/>
  <c r="BK82" i="52"/>
  <c r="AK84" i="52"/>
  <c r="AK82" i="52"/>
  <c r="AR82" i="52"/>
  <c r="AF82" i="52"/>
  <c r="S84" i="52"/>
  <c r="M82" i="52"/>
  <c r="AM82" i="52"/>
  <c r="Q84" i="52"/>
  <c r="P82" i="52"/>
  <c r="L84" i="52"/>
  <c r="L82" i="52"/>
  <c r="AL82" i="52"/>
  <c r="CA84" i="52"/>
  <c r="CE82" i="52"/>
  <c r="CE84" i="52"/>
  <c r="D72" i="2"/>
  <c r="E76" i="2" s="1"/>
  <c r="F91" i="2" s="1"/>
  <c r="F93" i="2" s="1"/>
  <c r="CG85" i="52" l="1"/>
  <c r="CG86" i="52"/>
  <c r="E118" i="5" s="1"/>
  <c r="E43" i="5" l="1"/>
  <c r="D12" i="2" l="1"/>
  <c r="D15" i="2" s="1"/>
  <c r="E66" i="5"/>
  <c r="E67" i="5" l="1"/>
  <c r="D25" i="2"/>
  <c r="C6" i="3"/>
  <c r="D26" i="2" l="1"/>
  <c r="D30" i="2" s="1"/>
  <c r="D34" i="2" s="1"/>
  <c r="C7" i="3"/>
  <c r="E79" i="5"/>
  <c r="E83" i="5" s="1"/>
  <c r="C22" i="52" l="1"/>
  <c r="C29" i="52" l="1"/>
  <c r="C37" i="52" s="1"/>
  <c r="C103" i="52"/>
  <c r="D22" i="52"/>
  <c r="C16" i="51"/>
  <c r="C104" i="52"/>
  <c r="C100" i="52"/>
  <c r="C102" i="52"/>
  <c r="C26" i="52"/>
  <c r="C42" i="52" s="1"/>
  <c r="C101" i="52" l="1"/>
  <c r="C43" i="52"/>
  <c r="D29" i="52"/>
  <c r="D37" i="52" s="1"/>
  <c r="BD22" i="52"/>
  <c r="BD42" i="52" s="1"/>
  <c r="AV22" i="52"/>
  <c r="BC22" i="52"/>
  <c r="BC42" i="52" s="1"/>
  <c r="BB22" i="52"/>
  <c r="BB42" i="52" s="1"/>
  <c r="BA22" i="52"/>
  <c r="BA42" i="52" s="1"/>
  <c r="AZ22" i="52"/>
  <c r="AZ42" i="52" s="1"/>
  <c r="BG22" i="52"/>
  <c r="AY22" i="52"/>
  <c r="BF22" i="52"/>
  <c r="AX22" i="52"/>
  <c r="BE22" i="52"/>
  <c r="AW22" i="52"/>
  <c r="C50" i="51"/>
  <c r="Z16" i="51"/>
  <c r="BO22" i="52"/>
  <c r="BO103" i="52" s="1"/>
  <c r="BU22" i="52"/>
  <c r="BQ22" i="52"/>
  <c r="BS22" i="52"/>
  <c r="G22" i="52"/>
  <c r="G103" i="52" s="1"/>
  <c r="J22" i="52"/>
  <c r="J103" i="52" s="1"/>
  <c r="C23" i="51"/>
  <c r="U16" i="51"/>
  <c r="C27" i="52"/>
  <c r="C135" i="51"/>
  <c r="C37" i="51"/>
  <c r="BZ22" i="52"/>
  <c r="BZ103" i="52" s="1"/>
  <c r="BM22" i="52"/>
  <c r="BM103" i="52" s="1"/>
  <c r="AU22" i="52"/>
  <c r="AU103" i="52" s="1"/>
  <c r="I22" i="52"/>
  <c r="I103" i="52" s="1"/>
  <c r="AF22" i="52"/>
  <c r="AF42" i="52" s="1"/>
  <c r="L16" i="51"/>
  <c r="L112" i="51" s="1"/>
  <c r="AH22" i="52"/>
  <c r="AH103" i="52" s="1"/>
  <c r="L22" i="52"/>
  <c r="L42" i="52" s="1"/>
  <c r="E22" i="52"/>
  <c r="E103" i="52" s="1"/>
  <c r="BX22" i="52"/>
  <c r="BX42" i="52" s="1"/>
  <c r="CA22" i="52"/>
  <c r="CA103" i="52" s="1"/>
  <c r="AT22" i="52"/>
  <c r="AT103" i="52" s="1"/>
  <c r="CG22" i="52"/>
  <c r="CG103" i="52" s="1"/>
  <c r="AL22" i="52"/>
  <c r="AL42" i="52" s="1"/>
  <c r="S22" i="52"/>
  <c r="S42" i="52" s="1"/>
  <c r="BK22" i="52"/>
  <c r="BK42" i="52" s="1"/>
  <c r="AE22" i="52"/>
  <c r="AE42" i="52" s="1"/>
  <c r="M22" i="52"/>
  <c r="M42" i="52" s="1"/>
  <c r="CF22" i="52"/>
  <c r="CF103" i="52" s="1"/>
  <c r="T22" i="52"/>
  <c r="T103" i="52" s="1"/>
  <c r="AD22" i="52"/>
  <c r="AD42" i="52" s="1"/>
  <c r="CE22" i="52"/>
  <c r="CE42" i="52" s="1"/>
  <c r="AC22" i="52"/>
  <c r="AC103" i="52" s="1"/>
  <c r="V22" i="52"/>
  <c r="V29" i="52" s="1"/>
  <c r="AS22" i="52"/>
  <c r="AS42" i="52" s="1"/>
  <c r="AB16" i="51"/>
  <c r="K22" i="52"/>
  <c r="K103" i="52" s="1"/>
  <c r="BP22" i="52"/>
  <c r="AR22" i="52"/>
  <c r="AR42" i="52" s="1"/>
  <c r="Z22" i="52"/>
  <c r="Z103" i="52" s="1"/>
  <c r="AP22" i="52"/>
  <c r="AP42" i="52" s="1"/>
  <c r="BL22" i="52"/>
  <c r="BL103" i="52" s="1"/>
  <c r="AJ22" i="52"/>
  <c r="AJ103" i="52" s="1"/>
  <c r="C146" i="51"/>
  <c r="AM22" i="52"/>
  <c r="AM42" i="52" s="1"/>
  <c r="BI22" i="52"/>
  <c r="BI103" i="52" s="1"/>
  <c r="AO22" i="52"/>
  <c r="AO42" i="52" s="1"/>
  <c r="E16" i="51"/>
  <c r="E50" i="51" s="1"/>
  <c r="AK22" i="52"/>
  <c r="AK42" i="52" s="1"/>
  <c r="AQ22" i="52"/>
  <c r="AQ42" i="52" s="1"/>
  <c r="H16" i="51"/>
  <c r="D16" i="51"/>
  <c r="M16" i="51"/>
  <c r="M181" i="51" s="1"/>
  <c r="AC16" i="51"/>
  <c r="P22" i="52"/>
  <c r="P42" i="52" s="1"/>
  <c r="G16" i="51"/>
  <c r="AA22" i="52"/>
  <c r="AA103" i="52" s="1"/>
  <c r="BR22" i="52"/>
  <c r="BV22" i="52"/>
  <c r="BV42" i="52" s="1"/>
  <c r="BW22" i="52"/>
  <c r="BW42" i="52" s="1"/>
  <c r="O16" i="51"/>
  <c r="I16" i="51"/>
  <c r="AN22" i="52"/>
  <c r="AN42" i="52" s="1"/>
  <c r="CB22" i="52"/>
  <c r="CB103" i="52" s="1"/>
  <c r="AG22" i="52"/>
  <c r="AG42" i="52" s="1"/>
  <c r="Q22" i="52"/>
  <c r="K16" i="51"/>
  <c r="N22" i="52"/>
  <c r="N42" i="52" s="1"/>
  <c r="BJ22" i="52"/>
  <c r="BJ42" i="52" s="1"/>
  <c r="X22" i="52"/>
  <c r="X103" i="52" s="1"/>
  <c r="AB22" i="52"/>
  <c r="AB103" i="52" s="1"/>
  <c r="W22" i="52"/>
  <c r="W103" i="52" s="1"/>
  <c r="CD22" i="52"/>
  <c r="CD42" i="52" s="1"/>
  <c r="O22" i="52"/>
  <c r="O42" i="52" s="1"/>
  <c r="AA16" i="51"/>
  <c r="Y16" i="51"/>
  <c r="V16" i="51"/>
  <c r="S16" i="51"/>
  <c r="T16" i="51"/>
  <c r="H22" i="52"/>
  <c r="H103" i="52" s="1"/>
  <c r="CC22" i="52"/>
  <c r="CC42" i="52" s="1"/>
  <c r="Y22" i="52"/>
  <c r="Y103" i="52" s="1"/>
  <c r="AI22" i="52"/>
  <c r="AI103" i="52" s="1"/>
  <c r="BY22" i="52"/>
  <c r="BY103" i="52" s="1"/>
  <c r="P16" i="51"/>
  <c r="J16" i="51"/>
  <c r="BH22" i="52"/>
  <c r="BH103" i="52" s="1"/>
  <c r="X16" i="51"/>
  <c r="BN22" i="52"/>
  <c r="BN103" i="52" s="1"/>
  <c r="N16" i="51"/>
  <c r="R16" i="51"/>
  <c r="Q16" i="51"/>
  <c r="F16" i="51"/>
  <c r="F50" i="51" s="1"/>
  <c r="BT22" i="52"/>
  <c r="BT103" i="52" s="1"/>
  <c r="W16" i="51"/>
  <c r="U22" i="52"/>
  <c r="U103" i="52" s="1"/>
  <c r="R22" i="52"/>
  <c r="F22" i="52"/>
  <c r="F103" i="52" s="1"/>
  <c r="D26" i="52"/>
  <c r="D100" i="52"/>
  <c r="D103" i="52"/>
  <c r="CO10" i="52" s="1"/>
  <c r="D104" i="52"/>
  <c r="CO12" i="52" s="1"/>
  <c r="D102" i="52"/>
  <c r="CO9" i="52" s="1"/>
  <c r="D58" i="52" l="1"/>
  <c r="D42" i="52"/>
  <c r="C41" i="52"/>
  <c r="C44" i="52" s="1"/>
  <c r="C108" i="52"/>
  <c r="C45" i="51"/>
  <c r="D101" i="52"/>
  <c r="CO8" i="52" s="1"/>
  <c r="Z36" i="51"/>
  <c r="Z131" i="51" s="1"/>
  <c r="C44" i="51"/>
  <c r="C87" i="51" s="1"/>
  <c r="C90" i="51" s="1"/>
  <c r="D43" i="52"/>
  <c r="Q28" i="52"/>
  <c r="Q100" i="52" s="1"/>
  <c r="Q26" i="52"/>
  <c r="Q42" i="52" s="1"/>
  <c r="R28" i="52"/>
  <c r="R100" i="52" s="1"/>
  <c r="R26" i="52"/>
  <c r="R42" i="52" s="1"/>
  <c r="Z111" i="51"/>
  <c r="Z115" i="51" s="1"/>
  <c r="Z135" i="51"/>
  <c r="Z144" i="51"/>
  <c r="G181" i="51"/>
  <c r="AB166" i="51"/>
  <c r="AA107" i="51"/>
  <c r="H181" i="51"/>
  <c r="Z166" i="51"/>
  <c r="Z34" i="51"/>
  <c r="Z35" i="51"/>
  <c r="Z129" i="51" s="1"/>
  <c r="Z146" i="51"/>
  <c r="Z141" i="51"/>
  <c r="Z138" i="51"/>
  <c r="AS103" i="52"/>
  <c r="AE103" i="52"/>
  <c r="BS37" i="52"/>
  <c r="BS103" i="52"/>
  <c r="BG103" i="52"/>
  <c r="BG104" i="52"/>
  <c r="BG26" i="52"/>
  <c r="BG102" i="52"/>
  <c r="O103" i="52"/>
  <c r="Q103" i="52"/>
  <c r="BR37" i="52"/>
  <c r="BR103" i="52"/>
  <c r="AQ103" i="52"/>
  <c r="V37" i="52"/>
  <c r="V103" i="52"/>
  <c r="BK103" i="52"/>
  <c r="L103" i="52"/>
  <c r="BQ37" i="52"/>
  <c r="BQ103" i="52"/>
  <c r="AZ103" i="52"/>
  <c r="AZ102" i="52"/>
  <c r="AZ104" i="52"/>
  <c r="AZ37" i="52"/>
  <c r="AZ41" i="52" s="1"/>
  <c r="BA103" i="52"/>
  <c r="BA102" i="52"/>
  <c r="BA104" i="52"/>
  <c r="BA37" i="52"/>
  <c r="BA41" i="52" s="1"/>
  <c r="BV103" i="52"/>
  <c r="R103" i="52"/>
  <c r="CC103" i="52"/>
  <c r="CD103" i="52"/>
  <c r="AG103" i="52"/>
  <c r="AK103" i="52"/>
  <c r="AP103" i="52"/>
  <c r="S103" i="52"/>
  <c r="BU37" i="52"/>
  <c r="BU103" i="52"/>
  <c r="AW103" i="52"/>
  <c r="AW28" i="52"/>
  <c r="AW100" i="52" s="1"/>
  <c r="AW102" i="52"/>
  <c r="AW104" i="52"/>
  <c r="AW26" i="52"/>
  <c r="AW42" i="52" s="1"/>
  <c r="BB103" i="52"/>
  <c r="BB102" i="52"/>
  <c r="BB104" i="52"/>
  <c r="BB37" i="52"/>
  <c r="BB41" i="52" s="1"/>
  <c r="N103" i="52"/>
  <c r="BW103" i="52"/>
  <c r="M103" i="52"/>
  <c r="AY103" i="52"/>
  <c r="AY102" i="52"/>
  <c r="AY104" i="52"/>
  <c r="AY28" i="52"/>
  <c r="AY100" i="52" s="1"/>
  <c r="AY26" i="52"/>
  <c r="AY42" i="52" s="1"/>
  <c r="C51" i="51"/>
  <c r="CE103" i="52"/>
  <c r="AL103" i="52"/>
  <c r="AN103" i="52"/>
  <c r="P103" i="52"/>
  <c r="AO103" i="52"/>
  <c r="AR103" i="52"/>
  <c r="AD103" i="52"/>
  <c r="AF103" i="52"/>
  <c r="BE103" i="52"/>
  <c r="BE102" i="52"/>
  <c r="BE28" i="52"/>
  <c r="BE100" i="52" s="1"/>
  <c r="BE104" i="52"/>
  <c r="BE26" i="52"/>
  <c r="BE42" i="52" s="1"/>
  <c r="BC103" i="52"/>
  <c r="BC102" i="52"/>
  <c r="BC104" i="52"/>
  <c r="BC37" i="52"/>
  <c r="BC41" i="52" s="1"/>
  <c r="BX103" i="52"/>
  <c r="AX28" i="52"/>
  <c r="AX100" i="52" s="1"/>
  <c r="AX104" i="52"/>
  <c r="AX103" i="52"/>
  <c r="AX102" i="52"/>
  <c r="AX26" i="52"/>
  <c r="AX42" i="52" s="1"/>
  <c r="AV102" i="52"/>
  <c r="AV103" i="52"/>
  <c r="AV104" i="52"/>
  <c r="AV28" i="52"/>
  <c r="AV100" i="52" s="1"/>
  <c r="AV26" i="52"/>
  <c r="AV42" i="52" s="1"/>
  <c r="BP37" i="52"/>
  <c r="BP103" i="52"/>
  <c r="BJ103" i="52"/>
  <c r="AM103" i="52"/>
  <c r="BF102" i="52"/>
  <c r="BF26" i="52"/>
  <c r="BF104" i="52"/>
  <c r="BF103" i="52"/>
  <c r="BD103" i="52"/>
  <c r="BD102" i="52"/>
  <c r="BD104" i="52"/>
  <c r="BD37" i="52"/>
  <c r="BD41" i="52" s="1"/>
  <c r="C45" i="52"/>
  <c r="BV37" i="52"/>
  <c r="BV41" i="52" s="1"/>
  <c r="AS37" i="52"/>
  <c r="AS41" i="52" s="1"/>
  <c r="AS45" i="52"/>
  <c r="AS109" i="52" s="1"/>
  <c r="AE37" i="52"/>
  <c r="AE41" i="52" s="1"/>
  <c r="AE45" i="52"/>
  <c r="AE109" i="52" s="1"/>
  <c r="BK37" i="52"/>
  <c r="BK41" i="52" s="1"/>
  <c r="L37" i="52"/>
  <c r="L41" i="52" s="1"/>
  <c r="CC37" i="52"/>
  <c r="CC41" i="52" s="1"/>
  <c r="AK37" i="52"/>
  <c r="AK41" i="52" s="1"/>
  <c r="AK45" i="52"/>
  <c r="AK109" i="52" s="1"/>
  <c r="CB28" i="52"/>
  <c r="CB100" i="52" s="1"/>
  <c r="CE37" i="52"/>
  <c r="CE41" i="52" s="1"/>
  <c r="AL37" i="52"/>
  <c r="AL41" i="52" s="1"/>
  <c r="AQ37" i="52"/>
  <c r="AQ41" i="52" s="1"/>
  <c r="CD37" i="52"/>
  <c r="CD41" i="52" s="1"/>
  <c r="AG37" i="52"/>
  <c r="AG41" i="52" s="1"/>
  <c r="AP37" i="52"/>
  <c r="AP41" i="52" s="1"/>
  <c r="AN37" i="52"/>
  <c r="AN41" i="52" s="1"/>
  <c r="AO37" i="52"/>
  <c r="AO41" i="52" s="1"/>
  <c r="AR37" i="52"/>
  <c r="AR41" i="52" s="1"/>
  <c r="AD37" i="52"/>
  <c r="AD41" i="52" s="1"/>
  <c r="AF37" i="52"/>
  <c r="AF41" i="52" s="1"/>
  <c r="BO28" i="52"/>
  <c r="BO100" i="52" s="1"/>
  <c r="BN28" i="52"/>
  <c r="BH26" i="52"/>
  <c r="BH42" i="52" s="1"/>
  <c r="BH37" i="52"/>
  <c r="BI26" i="52"/>
  <c r="BI42" i="52" s="1"/>
  <c r="BI37" i="52"/>
  <c r="S37" i="52"/>
  <c r="S41" i="52" s="1"/>
  <c r="P37" i="52"/>
  <c r="P41" i="52" s="1"/>
  <c r="BT26" i="52"/>
  <c r="BT42" i="52" s="1"/>
  <c r="BT37" i="52"/>
  <c r="BJ37" i="52"/>
  <c r="BJ41" i="52" s="1"/>
  <c r="AM37" i="52"/>
  <c r="AM41" i="52" s="1"/>
  <c r="K26" i="52"/>
  <c r="K42" i="52" s="1"/>
  <c r="K37" i="52"/>
  <c r="CA28" i="52"/>
  <c r="O37" i="52"/>
  <c r="O41" i="52" s="1"/>
  <c r="N37" i="52"/>
  <c r="N41" i="52" s="1"/>
  <c r="BW37" i="52"/>
  <c r="BW41" i="52" s="1"/>
  <c r="M37" i="52"/>
  <c r="M41" i="52" s="1"/>
  <c r="BX37" i="52"/>
  <c r="BX41" i="52" s="1"/>
  <c r="W29" i="52"/>
  <c r="W26" i="52"/>
  <c r="W42" i="52" s="1"/>
  <c r="C118" i="51"/>
  <c r="AH5" i="51" s="1"/>
  <c r="F181" i="51"/>
  <c r="N166" i="51"/>
  <c r="L166" i="51"/>
  <c r="W166" i="51"/>
  <c r="T166" i="51"/>
  <c r="J166" i="51"/>
  <c r="I166" i="51"/>
  <c r="AC166" i="51"/>
  <c r="U166" i="51"/>
  <c r="F166" i="51"/>
  <c r="P166" i="51"/>
  <c r="V166" i="51"/>
  <c r="O166" i="51"/>
  <c r="M166" i="51"/>
  <c r="X166" i="51"/>
  <c r="S166" i="51"/>
  <c r="Q166" i="51"/>
  <c r="Y166" i="51"/>
  <c r="R166" i="51"/>
  <c r="AA166" i="51"/>
  <c r="K166" i="51"/>
  <c r="H166" i="51"/>
  <c r="G114" i="51"/>
  <c r="G166" i="51"/>
  <c r="E181" i="51"/>
  <c r="E166" i="51"/>
  <c r="Q21" i="51"/>
  <c r="Q124" i="51" s="1"/>
  <c r="Y21" i="51"/>
  <c r="O21" i="51"/>
  <c r="O124" i="51" s="1"/>
  <c r="J181" i="51"/>
  <c r="BS104" i="52"/>
  <c r="BS102" i="52"/>
  <c r="BS26" i="52"/>
  <c r="BS42" i="52" s="1"/>
  <c r="BQ102" i="52"/>
  <c r="BQ104" i="52"/>
  <c r="BQ26" i="52"/>
  <c r="BQ42" i="52" s="1"/>
  <c r="X21" i="51"/>
  <c r="X124" i="51" s="1"/>
  <c r="BU102" i="52"/>
  <c r="BU104" i="52"/>
  <c r="BU26" i="52"/>
  <c r="BU42" i="52" s="1"/>
  <c r="W21" i="51"/>
  <c r="W124" i="51" s="1"/>
  <c r="T21" i="51"/>
  <c r="T124" i="51" s="1"/>
  <c r="BO102" i="52"/>
  <c r="BO104" i="52"/>
  <c r="BO26" i="52"/>
  <c r="BO42" i="52" s="1"/>
  <c r="Z28" i="52"/>
  <c r="Z100" i="52" s="1"/>
  <c r="Z26" i="52"/>
  <c r="Z42" i="52" s="1"/>
  <c r="H26" i="52"/>
  <c r="H28" i="52"/>
  <c r="H100" i="52" s="1"/>
  <c r="AJ28" i="52"/>
  <c r="AJ26" i="52"/>
  <c r="AJ42" i="52" s="1"/>
  <c r="J102" i="52"/>
  <c r="J104" i="52"/>
  <c r="J28" i="52"/>
  <c r="J100" i="52" s="1"/>
  <c r="J26" i="52"/>
  <c r="J42" i="52" s="1"/>
  <c r="BR26" i="52"/>
  <c r="BR42" i="52" s="1"/>
  <c r="G28" i="52"/>
  <c r="G100" i="52" s="1"/>
  <c r="G102" i="52"/>
  <c r="G104" i="52"/>
  <c r="G26" i="52"/>
  <c r="G42" i="52" s="1"/>
  <c r="AB28" i="52"/>
  <c r="AB100" i="52" s="1"/>
  <c r="AB26" i="52"/>
  <c r="AB42" i="52" s="1"/>
  <c r="AA28" i="52"/>
  <c r="AA100" i="52" s="1"/>
  <c r="AA26" i="52"/>
  <c r="AA42" i="52" s="1"/>
  <c r="AC28" i="52"/>
  <c r="AC100" i="52" s="1"/>
  <c r="AC26" i="52"/>
  <c r="AC42" i="52" s="1"/>
  <c r="I26" i="52"/>
  <c r="I42" i="52" s="1"/>
  <c r="I28" i="52"/>
  <c r="I100" i="52" s="1"/>
  <c r="D23" i="51"/>
  <c r="U144" i="51"/>
  <c r="U21" i="51"/>
  <c r="U146" i="51"/>
  <c r="U135" i="51"/>
  <c r="U111" i="51"/>
  <c r="U138" i="51"/>
  <c r="U36" i="51"/>
  <c r="U131" i="51" s="1"/>
  <c r="U35" i="51"/>
  <c r="U129" i="51" s="1"/>
  <c r="U141" i="51"/>
  <c r="U34" i="51"/>
  <c r="U127" i="51" s="1"/>
  <c r="R114" i="51"/>
  <c r="R113" i="51"/>
  <c r="R112" i="51"/>
  <c r="R21" i="51"/>
  <c r="F114" i="51"/>
  <c r="F113" i="51"/>
  <c r="F112" i="51"/>
  <c r="P21" i="51"/>
  <c r="V114" i="51"/>
  <c r="V21" i="51"/>
  <c r="V113" i="51"/>
  <c r="V112" i="51"/>
  <c r="I21" i="51"/>
  <c r="I23" i="51" s="1"/>
  <c r="I114" i="51"/>
  <c r="I113" i="51"/>
  <c r="I112" i="51"/>
  <c r="M21" i="51"/>
  <c r="M113" i="51"/>
  <c r="M112" i="51"/>
  <c r="N144" i="51"/>
  <c r="N146" i="51"/>
  <c r="N138" i="51"/>
  <c r="N135" i="51"/>
  <c r="N141" i="51"/>
  <c r="N21" i="51"/>
  <c r="J21" i="51"/>
  <c r="J23" i="51" s="1"/>
  <c r="J114" i="51"/>
  <c r="J113" i="51"/>
  <c r="J112" i="51"/>
  <c r="S114" i="51"/>
  <c r="S21" i="51"/>
  <c r="S112" i="51"/>
  <c r="S113" i="51"/>
  <c r="K114" i="51"/>
  <c r="K21" i="51"/>
  <c r="K113" i="51"/>
  <c r="K112" i="51"/>
  <c r="L144" i="51"/>
  <c r="L135" i="51"/>
  <c r="L138" i="51"/>
  <c r="L146" i="51"/>
  <c r="L141" i="51"/>
  <c r="L21" i="51"/>
  <c r="H114" i="51"/>
  <c r="H113" i="51"/>
  <c r="H21" i="51"/>
  <c r="H112" i="51"/>
  <c r="G180" i="51"/>
  <c r="E114" i="51"/>
  <c r="E113" i="51"/>
  <c r="E112" i="51"/>
  <c r="F28" i="52"/>
  <c r="F100" i="52" s="1"/>
  <c r="F26" i="52"/>
  <c r="F42" i="52" s="1"/>
  <c r="V101" i="52"/>
  <c r="V26" i="52"/>
  <c r="V42" i="52" s="1"/>
  <c r="R102" i="52"/>
  <c r="R104" i="52"/>
  <c r="BN102" i="52"/>
  <c r="BN104" i="52"/>
  <c r="BN26" i="52"/>
  <c r="BN42" i="52" s="1"/>
  <c r="CC102" i="52"/>
  <c r="CC104" i="52"/>
  <c r="CD102" i="52"/>
  <c r="CD104" i="52"/>
  <c r="Q102" i="52"/>
  <c r="Q104" i="52"/>
  <c r="BR102" i="52"/>
  <c r="BR104" i="52"/>
  <c r="AQ102" i="52"/>
  <c r="AQ104" i="52"/>
  <c r="BL26" i="52"/>
  <c r="BL104" i="52"/>
  <c r="BL102" i="52"/>
  <c r="V104" i="52"/>
  <c r="V102" i="52"/>
  <c r="BK104" i="52"/>
  <c r="BK102" i="52"/>
  <c r="E104" i="52"/>
  <c r="E102" i="52"/>
  <c r="E28" i="52"/>
  <c r="E26" i="52"/>
  <c r="BZ26" i="52"/>
  <c r="BZ102" i="52"/>
  <c r="BZ104" i="52"/>
  <c r="U26" i="52"/>
  <c r="U104" i="52"/>
  <c r="U102" i="52"/>
  <c r="X146" i="51"/>
  <c r="X36" i="51"/>
  <c r="X131" i="51" s="1"/>
  <c r="X111" i="51"/>
  <c r="X34" i="51"/>
  <c r="X35" i="51"/>
  <c r="X129" i="51" s="1"/>
  <c r="X141" i="51"/>
  <c r="X138" i="51"/>
  <c r="X135" i="51"/>
  <c r="X144" i="51"/>
  <c r="H102" i="52"/>
  <c r="H104" i="52"/>
  <c r="W102" i="52"/>
  <c r="W104" i="52"/>
  <c r="AG102" i="52"/>
  <c r="AG104" i="52"/>
  <c r="AA102" i="52"/>
  <c r="AA104" i="52"/>
  <c r="AK102" i="52"/>
  <c r="AK104" i="52"/>
  <c r="AP102" i="52"/>
  <c r="AP104" i="52"/>
  <c r="AC102" i="52"/>
  <c r="AC104" i="52"/>
  <c r="S102" i="52"/>
  <c r="S104" i="52"/>
  <c r="L102" i="52"/>
  <c r="L104" i="52"/>
  <c r="W146" i="51"/>
  <c r="W35" i="51"/>
  <c r="W129" i="51" s="1"/>
  <c r="W111" i="51"/>
  <c r="W36" i="51"/>
  <c r="W131" i="51" s="1"/>
  <c r="W135" i="51"/>
  <c r="W144" i="51"/>
  <c r="W34" i="51"/>
  <c r="W141" i="51"/>
  <c r="W138" i="51"/>
  <c r="CB102" i="52"/>
  <c r="CB26" i="52"/>
  <c r="CB42" i="52" s="1"/>
  <c r="CB104" i="52"/>
  <c r="E36" i="51"/>
  <c r="E131" i="51" s="1"/>
  <c r="E138" i="51"/>
  <c r="E146" i="51"/>
  <c r="E35" i="51"/>
  <c r="E129" i="51" s="1"/>
  <c r="E111" i="51"/>
  <c r="E34" i="51"/>
  <c r="E141" i="51"/>
  <c r="E21" i="51"/>
  <c r="E135" i="51"/>
  <c r="E144" i="51"/>
  <c r="E178" i="51"/>
  <c r="Z102" i="52"/>
  <c r="Z104" i="52"/>
  <c r="CE102" i="52"/>
  <c r="CE104" i="52"/>
  <c r="AL102" i="52"/>
  <c r="AL104" i="52"/>
  <c r="AH26" i="52"/>
  <c r="AH102" i="52"/>
  <c r="AH104" i="52"/>
  <c r="BT102" i="52"/>
  <c r="BT104" i="52"/>
  <c r="J146" i="51"/>
  <c r="J111" i="51"/>
  <c r="J34" i="51"/>
  <c r="J36" i="51"/>
  <c r="J131" i="51" s="1"/>
  <c r="J35" i="51"/>
  <c r="J129" i="51" s="1"/>
  <c r="J141" i="51"/>
  <c r="J138" i="51"/>
  <c r="J135" i="51"/>
  <c r="J144" i="51"/>
  <c r="S146" i="51"/>
  <c r="S111" i="51"/>
  <c r="S35" i="51"/>
  <c r="S129" i="51" s="1"/>
  <c r="S34" i="51"/>
  <c r="S36" i="51"/>
  <c r="S131" i="51" s="1"/>
  <c r="S135" i="51"/>
  <c r="S138" i="51"/>
  <c r="S144" i="51"/>
  <c r="S141" i="51"/>
  <c r="AB102" i="52"/>
  <c r="AB104" i="52"/>
  <c r="AN102" i="52"/>
  <c r="AN104" i="52"/>
  <c r="P102" i="52"/>
  <c r="P104" i="52"/>
  <c r="AO102" i="52"/>
  <c r="AO104" i="52"/>
  <c r="AR102" i="52"/>
  <c r="AR104" i="52"/>
  <c r="AD102" i="52"/>
  <c r="AD104" i="52"/>
  <c r="CG26" i="52"/>
  <c r="CG104" i="52"/>
  <c r="CG102" i="52"/>
  <c r="L111" i="51"/>
  <c r="L34" i="51"/>
  <c r="L127" i="51" s="1"/>
  <c r="L36" i="51"/>
  <c r="L131" i="51" s="1"/>
  <c r="L35" i="51"/>
  <c r="L129" i="51" s="1"/>
  <c r="F34" i="51"/>
  <c r="F127" i="51" s="1"/>
  <c r="F178" i="51"/>
  <c r="F21" i="51"/>
  <c r="F111" i="51"/>
  <c r="F36" i="51"/>
  <c r="F131" i="51" s="1"/>
  <c r="F35" i="51"/>
  <c r="F129" i="51" s="1"/>
  <c r="F135" i="51"/>
  <c r="F138" i="51"/>
  <c r="F144" i="51"/>
  <c r="F146" i="51"/>
  <c r="F141" i="51"/>
  <c r="X104" i="52"/>
  <c r="X102" i="52"/>
  <c r="X26" i="52"/>
  <c r="X42" i="52" s="1"/>
  <c r="X28" i="52"/>
  <c r="X100" i="52" s="1"/>
  <c r="BI102" i="52"/>
  <c r="BI104" i="52"/>
  <c r="BP26" i="52"/>
  <c r="BP42" i="52" s="1"/>
  <c r="BP104" i="52"/>
  <c r="BP102" i="52"/>
  <c r="T26" i="52"/>
  <c r="T104" i="52"/>
  <c r="T102" i="52"/>
  <c r="AT26" i="52"/>
  <c r="AT104" i="52"/>
  <c r="AT102" i="52"/>
  <c r="AF102" i="52"/>
  <c r="AF104" i="52"/>
  <c r="D27" i="52"/>
  <c r="D41" i="52" s="1"/>
  <c r="T146" i="51"/>
  <c r="T35" i="51"/>
  <c r="T129" i="51" s="1"/>
  <c r="T36" i="51"/>
  <c r="T131" i="51" s="1"/>
  <c r="T111" i="51"/>
  <c r="T34" i="51"/>
  <c r="T138" i="51"/>
  <c r="T144" i="51"/>
  <c r="T135" i="51"/>
  <c r="T141" i="51"/>
  <c r="G34" i="51"/>
  <c r="G127" i="51" s="1"/>
  <c r="G111" i="51"/>
  <c r="G35" i="51"/>
  <c r="G129" i="51" s="1"/>
  <c r="G21" i="51"/>
  <c r="G36" i="51"/>
  <c r="G131" i="51" s="1"/>
  <c r="G144" i="51"/>
  <c r="G135" i="51"/>
  <c r="G113" i="51"/>
  <c r="G112" i="51"/>
  <c r="G141" i="51"/>
  <c r="G138" i="51"/>
  <c r="G146" i="51"/>
  <c r="P146" i="51"/>
  <c r="P111" i="51"/>
  <c r="P36" i="51"/>
  <c r="P131" i="51" s="1"/>
  <c r="P34" i="51"/>
  <c r="P35" i="51"/>
  <c r="P129" i="51" s="1"/>
  <c r="P135" i="51"/>
  <c r="P141" i="51"/>
  <c r="P138" i="51"/>
  <c r="P144" i="51"/>
  <c r="AC111" i="51"/>
  <c r="AC115" i="51" s="1"/>
  <c r="AC23" i="51"/>
  <c r="AC146" i="51"/>
  <c r="AC135" i="51"/>
  <c r="AC138" i="51"/>
  <c r="Q146" i="51"/>
  <c r="Q34" i="51"/>
  <c r="Q111" i="51"/>
  <c r="Q36" i="51"/>
  <c r="Q131" i="51" s="1"/>
  <c r="Q35" i="51"/>
  <c r="Q129" i="51" s="1"/>
  <c r="Q135" i="51"/>
  <c r="Q141" i="51"/>
  <c r="Q144" i="51"/>
  <c r="Q138" i="51"/>
  <c r="BY26" i="52"/>
  <c r="BY102" i="52"/>
  <c r="BY104" i="52"/>
  <c r="Y146" i="51"/>
  <c r="Y34" i="51"/>
  <c r="Y35" i="51"/>
  <c r="Y129" i="51" s="1"/>
  <c r="Y111" i="51"/>
  <c r="Y36" i="51"/>
  <c r="Y131" i="51" s="1"/>
  <c r="Y138" i="51"/>
  <c r="Y144" i="51"/>
  <c r="Y141" i="51"/>
  <c r="Y135" i="51"/>
  <c r="BJ102" i="52"/>
  <c r="BJ104" i="52"/>
  <c r="O146" i="51"/>
  <c r="O35" i="51"/>
  <c r="O129" i="51" s="1"/>
  <c r="O36" i="51"/>
  <c r="O131" i="51" s="1"/>
  <c r="O34" i="51"/>
  <c r="O111" i="51"/>
  <c r="O138" i="51"/>
  <c r="O141" i="51"/>
  <c r="O135" i="51"/>
  <c r="O144" i="51"/>
  <c r="M146" i="51"/>
  <c r="M111" i="51"/>
  <c r="M36" i="51"/>
  <c r="M131" i="51" s="1"/>
  <c r="M34" i="51"/>
  <c r="M35" i="51"/>
  <c r="M129" i="51" s="1"/>
  <c r="M141" i="51"/>
  <c r="M144" i="51"/>
  <c r="M138" i="51"/>
  <c r="M135" i="51"/>
  <c r="AM102" i="52"/>
  <c r="AM104" i="52"/>
  <c r="K102" i="52"/>
  <c r="K104" i="52"/>
  <c r="CF26" i="52"/>
  <c r="CF102" i="52"/>
  <c r="CF104" i="52"/>
  <c r="I102" i="52"/>
  <c r="I104" i="52"/>
  <c r="V146" i="51"/>
  <c r="V111" i="51"/>
  <c r="V34" i="51"/>
  <c r="V36" i="51"/>
  <c r="V131" i="51" s="1"/>
  <c r="V144" i="51"/>
  <c r="V135" i="51"/>
  <c r="V35" i="51"/>
  <c r="V129" i="51" s="1"/>
  <c r="V138" i="51"/>
  <c r="V141" i="51"/>
  <c r="I146" i="51"/>
  <c r="I135" i="51"/>
  <c r="I141" i="51"/>
  <c r="I34" i="51"/>
  <c r="I138" i="51"/>
  <c r="I111" i="51"/>
  <c r="I36" i="51"/>
  <c r="I131" i="51" s="1"/>
  <c r="I35" i="51"/>
  <c r="I129" i="51" s="1"/>
  <c r="I144" i="51"/>
  <c r="R146" i="51"/>
  <c r="R111" i="51"/>
  <c r="R144" i="51"/>
  <c r="R35" i="51"/>
  <c r="R129" i="51" s="1"/>
  <c r="R135" i="51"/>
  <c r="R36" i="51"/>
  <c r="R131" i="51" s="1"/>
  <c r="R138" i="51"/>
  <c r="R141" i="51"/>
  <c r="R34" i="51"/>
  <c r="AI26" i="52"/>
  <c r="AI104" i="52"/>
  <c r="AI102" i="52"/>
  <c r="AA146" i="51"/>
  <c r="AA34" i="51"/>
  <c r="AA35" i="51"/>
  <c r="AA111" i="51"/>
  <c r="AA36" i="51"/>
  <c r="AA131" i="51" s="1"/>
  <c r="AA141" i="51"/>
  <c r="AA138" i="51"/>
  <c r="AA135" i="51"/>
  <c r="AA144" i="51"/>
  <c r="N102" i="52"/>
  <c r="N104" i="52"/>
  <c r="BW102" i="52"/>
  <c r="BW104" i="52"/>
  <c r="D146" i="51"/>
  <c r="D37" i="51"/>
  <c r="D141" i="51"/>
  <c r="AH11" i="51" s="1"/>
  <c r="D138" i="51"/>
  <c r="AH9" i="51" s="1"/>
  <c r="D135" i="51"/>
  <c r="AH8" i="51" s="1"/>
  <c r="AB23" i="51"/>
  <c r="AB111" i="51"/>
  <c r="AB115" i="51" s="1"/>
  <c r="AB138" i="51"/>
  <c r="AB146" i="51"/>
  <c r="AB135" i="51"/>
  <c r="CA104" i="52"/>
  <c r="CA102" i="52"/>
  <c r="CA26" i="52"/>
  <c r="CA42" i="52" s="1"/>
  <c r="BH104" i="52"/>
  <c r="BH102" i="52"/>
  <c r="M102" i="52"/>
  <c r="M104" i="52"/>
  <c r="AU26" i="52"/>
  <c r="AU102" i="52"/>
  <c r="AU104" i="52"/>
  <c r="F102" i="52"/>
  <c r="F104" i="52"/>
  <c r="N111" i="51"/>
  <c r="N35" i="51"/>
  <c r="N129" i="51" s="1"/>
  <c r="N36" i="51"/>
  <c r="N131" i="51" s="1"/>
  <c r="N34" i="51"/>
  <c r="Y28" i="52"/>
  <c r="Y100" i="52" s="1"/>
  <c r="Y102" i="52"/>
  <c r="Y26" i="52"/>
  <c r="Y104" i="52"/>
  <c r="O102" i="52"/>
  <c r="O104" i="52"/>
  <c r="K146" i="51"/>
  <c r="K111" i="51"/>
  <c r="K141" i="51"/>
  <c r="K34" i="51"/>
  <c r="K35" i="51"/>
  <c r="K129" i="51" s="1"/>
  <c r="K135" i="51"/>
  <c r="K144" i="51"/>
  <c r="K36" i="51"/>
  <c r="K131" i="51" s="1"/>
  <c r="K138" i="51"/>
  <c r="BV104" i="52"/>
  <c r="BV102" i="52"/>
  <c r="H34" i="51"/>
  <c r="H111" i="51"/>
  <c r="H35" i="51"/>
  <c r="H129" i="51" s="1"/>
  <c r="H146" i="51"/>
  <c r="H36" i="51"/>
  <c r="H131" i="51" s="1"/>
  <c r="H138" i="51"/>
  <c r="H144" i="51"/>
  <c r="H141" i="51"/>
  <c r="H135" i="51"/>
  <c r="AJ102" i="52"/>
  <c r="AJ104" i="52"/>
  <c r="AS102" i="52"/>
  <c r="AS104" i="52"/>
  <c r="AE102" i="52"/>
  <c r="AE104" i="52"/>
  <c r="BX102" i="52"/>
  <c r="BX104" i="52"/>
  <c r="BM104" i="52"/>
  <c r="BM102" i="52"/>
  <c r="BM26" i="52"/>
  <c r="C98" i="52"/>
  <c r="E127" i="51" l="1"/>
  <c r="Y42" i="52"/>
  <c r="C59" i="52"/>
  <c r="C107" i="52" s="1"/>
  <c r="AD44" i="52"/>
  <c r="AS59" i="52"/>
  <c r="AS107" i="52" s="1"/>
  <c r="AK53" i="52"/>
  <c r="AK114" i="52" s="1"/>
  <c r="AG53" i="52"/>
  <c r="AG114" i="52" s="1"/>
  <c r="CD44" i="52"/>
  <c r="AM75" i="52"/>
  <c r="AQ44" i="52"/>
  <c r="AE44" i="52"/>
  <c r="AE47" i="52" s="1"/>
  <c r="AE59" i="52"/>
  <c r="AE107" i="52" s="1"/>
  <c r="E43" i="52"/>
  <c r="Q37" i="52"/>
  <c r="D69" i="51"/>
  <c r="D45" i="51"/>
  <c r="D47" i="51" s="1"/>
  <c r="D44" i="51"/>
  <c r="D87" i="51" s="1"/>
  <c r="D90" i="51" s="1"/>
  <c r="D46" i="51"/>
  <c r="R37" i="52"/>
  <c r="AC43" i="52"/>
  <c r="BE43" i="52"/>
  <c r="BS43" i="52"/>
  <c r="BH43" i="52"/>
  <c r="AV43" i="52"/>
  <c r="R27" i="52"/>
  <c r="R43" i="52"/>
  <c r="AA43" i="52"/>
  <c r="BR43" i="52"/>
  <c r="H43" i="52"/>
  <c r="BU43" i="52"/>
  <c r="AW43" i="52"/>
  <c r="J43" i="52"/>
  <c r="Z43" i="52"/>
  <c r="BT43" i="52"/>
  <c r="Q27" i="52"/>
  <c r="Q43" i="52"/>
  <c r="V43" i="52"/>
  <c r="AB43" i="52"/>
  <c r="Y43" i="52"/>
  <c r="CB43" i="52"/>
  <c r="CB45" i="52" s="1"/>
  <c r="CB109" i="52" s="1"/>
  <c r="BO43" i="52"/>
  <c r="CA43" i="52"/>
  <c r="BQ43" i="52"/>
  <c r="W43" i="52"/>
  <c r="AX43" i="52"/>
  <c r="AY43" i="52"/>
  <c r="BP43" i="52"/>
  <c r="BN43" i="52"/>
  <c r="I43" i="52"/>
  <c r="AJ43" i="52"/>
  <c r="K43" i="52"/>
  <c r="BI43" i="52"/>
  <c r="G43" i="52"/>
  <c r="F43" i="52"/>
  <c r="X43" i="52"/>
  <c r="E100" i="52"/>
  <c r="CO11" i="52" s="1"/>
  <c r="AL44" i="52"/>
  <c r="O45" i="52"/>
  <c r="O109" i="52" s="1"/>
  <c r="BJ44" i="52"/>
  <c r="BA44" i="52"/>
  <c r="BJ45" i="52"/>
  <c r="BJ109" i="52" s="1"/>
  <c r="AQ45" i="52"/>
  <c r="AQ109" i="52" s="1"/>
  <c r="L44" i="52"/>
  <c r="AR44" i="52"/>
  <c r="P44" i="52"/>
  <c r="AO44" i="52"/>
  <c r="AP45" i="52"/>
  <c r="AP109" i="52" s="1"/>
  <c r="CC45" i="52"/>
  <c r="CC109" i="52" s="1"/>
  <c r="BX45" i="52"/>
  <c r="BX109" i="52" s="1"/>
  <c r="BT27" i="52"/>
  <c r="BT41" i="52" s="1"/>
  <c r="C76" i="52"/>
  <c r="C109" i="52"/>
  <c r="BV44" i="52"/>
  <c r="AF44" i="52"/>
  <c r="M44" i="52"/>
  <c r="AP44" i="52"/>
  <c r="CC44" i="52"/>
  <c r="S44" i="52"/>
  <c r="AN44" i="52"/>
  <c r="AM44" i="52"/>
  <c r="CE44" i="52"/>
  <c r="N44" i="52"/>
  <c r="BD44" i="52"/>
  <c r="BX44" i="52"/>
  <c r="O44" i="52"/>
  <c r="BW44" i="52"/>
  <c r="BB44" i="52"/>
  <c r="Q51" i="52"/>
  <c r="Q113" i="52" s="1"/>
  <c r="BC44" i="52"/>
  <c r="BK44" i="52"/>
  <c r="AZ44" i="52"/>
  <c r="R51" i="52"/>
  <c r="R113" i="52" s="1"/>
  <c r="D45" i="52"/>
  <c r="D109" i="52" s="1"/>
  <c r="C47" i="52"/>
  <c r="C55" i="52" s="1"/>
  <c r="J47" i="51"/>
  <c r="J52" i="51" s="1"/>
  <c r="M45" i="52"/>
  <c r="M109" i="52" s="1"/>
  <c r="Z24" i="51"/>
  <c r="Y23" i="51"/>
  <c r="Z127" i="51"/>
  <c r="Z60" i="51"/>
  <c r="Z170" i="51" s="1"/>
  <c r="AA129" i="51"/>
  <c r="AH22" i="51" s="1"/>
  <c r="AA127" i="51"/>
  <c r="D48" i="51"/>
  <c r="C48" i="51"/>
  <c r="BH27" i="52"/>
  <c r="BH41" i="52" s="1"/>
  <c r="AD45" i="52"/>
  <c r="AD109" i="52" s="1"/>
  <c r="AM45" i="52"/>
  <c r="AM109" i="52" s="1"/>
  <c r="AR45" i="52"/>
  <c r="AR109" i="52" s="1"/>
  <c r="AL45" i="52"/>
  <c r="AL109" i="52" s="1"/>
  <c r="K27" i="52"/>
  <c r="K41" i="52" s="1"/>
  <c r="J107" i="51"/>
  <c r="Z107" i="51"/>
  <c r="C107" i="51"/>
  <c r="AY37" i="52"/>
  <c r="BE37" i="52"/>
  <c r="BD45" i="52"/>
  <c r="BD109" i="52" s="1"/>
  <c r="AV37" i="52"/>
  <c r="AO45" i="52"/>
  <c r="AO109" i="52" s="1"/>
  <c r="CE45" i="52"/>
  <c r="CE109" i="52" s="1"/>
  <c r="AN45" i="52"/>
  <c r="AN109" i="52" s="1"/>
  <c r="AW37" i="52"/>
  <c r="AX37" i="52"/>
  <c r="AP53" i="52"/>
  <c r="AP114" i="52" s="1"/>
  <c r="AQ53" i="52"/>
  <c r="AQ114" i="52" s="1"/>
  <c r="N53" i="52"/>
  <c r="N114" i="52" s="1"/>
  <c r="BE27" i="52"/>
  <c r="CC53" i="52"/>
  <c r="CC114" i="52" s="1"/>
  <c r="AX27" i="52"/>
  <c r="AG45" i="52"/>
  <c r="AG109" i="52" s="1"/>
  <c r="BD75" i="52"/>
  <c r="BD53" i="52"/>
  <c r="BD114" i="52" s="1"/>
  <c r="BF42" i="52"/>
  <c r="BF45" i="52" s="1"/>
  <c r="BF109" i="52" s="1"/>
  <c r="BF41" i="52"/>
  <c r="BF99" i="52"/>
  <c r="AV27" i="52"/>
  <c r="BC75" i="52"/>
  <c r="BC53" i="52"/>
  <c r="BC114" i="52" s="1"/>
  <c r="AW27" i="52"/>
  <c r="AW41" i="52" s="1"/>
  <c r="BA75" i="52"/>
  <c r="BA53" i="52"/>
  <c r="BA114" i="52" s="1"/>
  <c r="AJ100" i="52"/>
  <c r="CU11" i="52" s="1"/>
  <c r="CA37" i="52"/>
  <c r="CA100" i="52"/>
  <c r="DD11" i="52" s="1"/>
  <c r="L45" i="52"/>
  <c r="L109" i="52" s="1"/>
  <c r="BA45" i="52"/>
  <c r="BA109" i="52" s="1"/>
  <c r="AZ45" i="52"/>
  <c r="AZ109" i="52" s="1"/>
  <c r="AR53" i="52"/>
  <c r="AR114" i="52" s="1"/>
  <c r="AY27" i="52"/>
  <c r="AY41" i="52" s="1"/>
  <c r="BW53" i="52"/>
  <c r="BW114" i="52" s="1"/>
  <c r="AO53" i="52"/>
  <c r="AO114" i="52" s="1"/>
  <c r="BN37" i="52"/>
  <c r="BN100" i="52"/>
  <c r="DA11" i="52" s="1"/>
  <c r="CD45" i="52"/>
  <c r="CD109" i="52" s="1"/>
  <c r="DG11" i="52"/>
  <c r="BB53" i="52"/>
  <c r="BB114" i="52" s="1"/>
  <c r="BB75" i="52"/>
  <c r="CE53" i="52"/>
  <c r="CE114" i="52" s="1"/>
  <c r="BJ53" i="52"/>
  <c r="BJ114" i="52" s="1"/>
  <c r="L53" i="52"/>
  <c r="L114" i="52" s="1"/>
  <c r="D118" i="51"/>
  <c r="AH6" i="51" s="1"/>
  <c r="BW45" i="52"/>
  <c r="BW109" i="52" s="1"/>
  <c r="BK45" i="52"/>
  <c r="BK109" i="52" s="1"/>
  <c r="BV45" i="52"/>
  <c r="BV109" i="52" s="1"/>
  <c r="DG10" i="52"/>
  <c r="AZ53" i="52"/>
  <c r="AZ114" i="52" s="1"/>
  <c r="AZ75" i="52"/>
  <c r="M53" i="52"/>
  <c r="M114" i="52" s="1"/>
  <c r="P53" i="52"/>
  <c r="P114" i="52" s="1"/>
  <c r="AL53" i="52"/>
  <c r="AL114" i="52" s="1"/>
  <c r="BK53" i="52"/>
  <c r="BK114" i="52" s="1"/>
  <c r="BI27" i="52"/>
  <c r="BI41" i="52" s="1"/>
  <c r="S45" i="52"/>
  <c r="S109" i="52" s="1"/>
  <c r="DG9" i="52"/>
  <c r="BC45" i="52"/>
  <c r="BC109" i="52" s="1"/>
  <c r="AF45" i="52"/>
  <c r="AF109" i="52" s="1"/>
  <c r="P45" i="52"/>
  <c r="P109" i="52" s="1"/>
  <c r="BB45" i="52"/>
  <c r="BB109" i="52" s="1"/>
  <c r="AE53" i="52"/>
  <c r="AE114" i="52" s="1"/>
  <c r="AF53" i="52"/>
  <c r="AF114" i="52" s="1"/>
  <c r="AN53" i="52"/>
  <c r="AN114" i="52" s="1"/>
  <c r="BV53" i="52"/>
  <c r="BV114" i="52" s="1"/>
  <c r="BX53" i="52"/>
  <c r="BX114" i="52" s="1"/>
  <c r="O53" i="52"/>
  <c r="O114" i="52" s="1"/>
  <c r="S53" i="52"/>
  <c r="S114" i="52" s="1"/>
  <c r="CD53" i="52"/>
  <c r="CD114" i="52" s="1"/>
  <c r="N45" i="52"/>
  <c r="N59" i="52" s="1"/>
  <c r="N107" i="52" s="1"/>
  <c r="DG8" i="52"/>
  <c r="BG41" i="52"/>
  <c r="BG42" i="52"/>
  <c r="BG45" i="52" s="1"/>
  <c r="BG109" i="52" s="1"/>
  <c r="BG99" i="52"/>
  <c r="W101" i="52"/>
  <c r="CR8" i="52" s="1"/>
  <c r="J45" i="52"/>
  <c r="J109" i="52" s="1"/>
  <c r="AE76" i="52"/>
  <c r="CB37" i="52"/>
  <c r="AS76" i="52"/>
  <c r="AK76" i="52"/>
  <c r="AC37" i="52"/>
  <c r="Y37" i="52"/>
  <c r="W27" i="52"/>
  <c r="I37" i="52"/>
  <c r="BO37" i="52"/>
  <c r="Z37" i="52"/>
  <c r="W37" i="52"/>
  <c r="F37" i="52"/>
  <c r="F58" i="52" s="1"/>
  <c r="J37" i="52"/>
  <c r="AB37" i="52"/>
  <c r="AJ37" i="52"/>
  <c r="X37" i="52"/>
  <c r="H37" i="52"/>
  <c r="H42" i="52" s="1"/>
  <c r="G37" i="52"/>
  <c r="G58" i="52" s="1"/>
  <c r="E37" i="52"/>
  <c r="E42" i="52" s="1"/>
  <c r="AA37" i="52"/>
  <c r="C64" i="51"/>
  <c r="C159" i="51" s="1"/>
  <c r="Y124" i="51"/>
  <c r="Q23" i="51"/>
  <c r="AH33" i="51"/>
  <c r="O23" i="51"/>
  <c r="I27" i="52"/>
  <c r="C51" i="52"/>
  <c r="C113" i="52" s="1"/>
  <c r="C53" i="52"/>
  <c r="X23" i="51"/>
  <c r="T23" i="51"/>
  <c r="BO27" i="52"/>
  <c r="BU27" i="52"/>
  <c r="BU41" i="52" s="1"/>
  <c r="BS27" i="52"/>
  <c r="BS41" i="52" s="1"/>
  <c r="BQ27" i="52"/>
  <c r="BQ41" i="52" s="1"/>
  <c r="W23" i="51"/>
  <c r="J27" i="52"/>
  <c r="J41" i="52" s="1"/>
  <c r="J24" i="51"/>
  <c r="J45" i="51" s="1"/>
  <c r="I124" i="51"/>
  <c r="AB27" i="52"/>
  <c r="AB41" i="52" s="1"/>
  <c r="H27" i="52"/>
  <c r="J124" i="51"/>
  <c r="AC27" i="52"/>
  <c r="AC41" i="52" s="1"/>
  <c r="Z27" i="52"/>
  <c r="G27" i="52"/>
  <c r="DD10" i="52"/>
  <c r="AA27" i="52"/>
  <c r="BR27" i="52"/>
  <c r="BR41" i="52" s="1"/>
  <c r="AJ27" i="52"/>
  <c r="Y127" i="51"/>
  <c r="X127" i="51"/>
  <c r="W127" i="51"/>
  <c r="L124" i="51"/>
  <c r="L23" i="51"/>
  <c r="K124" i="51"/>
  <c r="K23" i="51"/>
  <c r="S124" i="51"/>
  <c r="S23" i="51"/>
  <c r="U115" i="51"/>
  <c r="U24" i="51"/>
  <c r="U37" i="51" s="1"/>
  <c r="V124" i="51"/>
  <c r="V23" i="51"/>
  <c r="U124" i="51"/>
  <c r="U23" i="51"/>
  <c r="N124" i="51"/>
  <c r="N23" i="51"/>
  <c r="M124" i="51"/>
  <c r="M23" i="51"/>
  <c r="P124" i="51"/>
  <c r="P23" i="51"/>
  <c r="R124" i="51"/>
  <c r="R23" i="51"/>
  <c r="V127" i="51"/>
  <c r="T127" i="51"/>
  <c r="S127" i="51"/>
  <c r="R127" i="51"/>
  <c r="Q127" i="51"/>
  <c r="P127" i="51"/>
  <c r="O127" i="51"/>
  <c r="N127" i="51"/>
  <c r="M127" i="51"/>
  <c r="K127" i="51"/>
  <c r="H124" i="51"/>
  <c r="H23" i="51"/>
  <c r="J127" i="51"/>
  <c r="F27" i="52"/>
  <c r="F41" i="52" s="1"/>
  <c r="I127" i="51"/>
  <c r="H127" i="51"/>
  <c r="DD9" i="52"/>
  <c r="DD8" i="52"/>
  <c r="CX9" i="52"/>
  <c r="CX10" i="52"/>
  <c r="V27" i="52"/>
  <c r="V41" i="52" s="1"/>
  <c r="CU10" i="52"/>
  <c r="Y115" i="51"/>
  <c r="Y24" i="51"/>
  <c r="BY99" i="52"/>
  <c r="BY42" i="52"/>
  <c r="BY45" i="52" s="1"/>
  <c r="BY109" i="52" s="1"/>
  <c r="BY41" i="52"/>
  <c r="AC44" i="51"/>
  <c r="AC124" i="51"/>
  <c r="G124" i="51"/>
  <c r="G23" i="51"/>
  <c r="CR19" i="52"/>
  <c r="E124" i="51"/>
  <c r="E23" i="51"/>
  <c r="AG149" i="51"/>
  <c r="AH25" i="51"/>
  <c r="W24" i="51"/>
  <c r="W37" i="51" s="1"/>
  <c r="W115" i="51"/>
  <c r="AP75" i="52"/>
  <c r="CO18" i="52"/>
  <c r="DA9" i="52"/>
  <c r="AE75" i="52"/>
  <c r="M75" i="52"/>
  <c r="CF99" i="52"/>
  <c r="CF42" i="52"/>
  <c r="CF45" i="52" s="1"/>
  <c r="CF109" i="52" s="1"/>
  <c r="CF41" i="52"/>
  <c r="Q115" i="51"/>
  <c r="Q24" i="51"/>
  <c r="Q37" i="51" s="1"/>
  <c r="D98" i="52"/>
  <c r="CO7" i="52" s="1"/>
  <c r="D59" i="52"/>
  <c r="D107" i="52" s="1"/>
  <c r="F115" i="51"/>
  <c r="F24" i="51"/>
  <c r="L24" i="51"/>
  <c r="L118" i="51" s="1"/>
  <c r="L115" i="51"/>
  <c r="J115" i="51"/>
  <c r="AL75" i="52"/>
  <c r="L75" i="52"/>
  <c r="CX8" i="52"/>
  <c r="AB44" i="51"/>
  <c r="AB124" i="51"/>
  <c r="AC45" i="51"/>
  <c r="AC47" i="51" s="1"/>
  <c r="AC52" i="51" s="1"/>
  <c r="G24" i="51"/>
  <c r="G118" i="51" s="1"/>
  <c r="G115" i="51"/>
  <c r="F124" i="51"/>
  <c r="F23" i="51"/>
  <c r="AN75" i="52"/>
  <c r="AH28" i="51"/>
  <c r="AH23" i="51"/>
  <c r="U99" i="52"/>
  <c r="U42" i="52"/>
  <c r="U45" i="52" s="1"/>
  <c r="U109" i="52" s="1"/>
  <c r="U41" i="52"/>
  <c r="CO16" i="52"/>
  <c r="BL41" i="52"/>
  <c r="BL42" i="52"/>
  <c r="BL45" i="52" s="1"/>
  <c r="BL109" i="52" s="1"/>
  <c r="BL99" i="52"/>
  <c r="AB45" i="51"/>
  <c r="AB47" i="51" s="1"/>
  <c r="AB52" i="51" s="1"/>
  <c r="AB153" i="51" s="1"/>
  <c r="AB171" i="51" s="1"/>
  <c r="N75" i="52"/>
  <c r="AT42" i="52"/>
  <c r="AT45" i="52" s="1"/>
  <c r="AT109" i="52" s="1"/>
  <c r="AT41" i="52"/>
  <c r="AT99" i="52"/>
  <c r="BP27" i="52"/>
  <c r="BP41" i="52" s="1"/>
  <c r="AR75" i="52"/>
  <c r="AO75" i="52"/>
  <c r="CE75" i="52"/>
  <c r="S75" i="52"/>
  <c r="X24" i="51"/>
  <c r="X37" i="51" s="1"/>
  <c r="X115" i="51"/>
  <c r="H24" i="51"/>
  <c r="H37" i="51" s="1"/>
  <c r="H115" i="51"/>
  <c r="BV75" i="52"/>
  <c r="AA24" i="51"/>
  <c r="AA45" i="51" s="1"/>
  <c r="AA115" i="51"/>
  <c r="AI41" i="52"/>
  <c r="AI42" i="52"/>
  <c r="AI45" i="52" s="1"/>
  <c r="AI109" i="52" s="1"/>
  <c r="AI99" i="52"/>
  <c r="I24" i="51"/>
  <c r="I37" i="51" s="1"/>
  <c r="I44" i="51" s="1"/>
  <c r="I115" i="51"/>
  <c r="P115" i="51"/>
  <c r="P24" i="51"/>
  <c r="P37" i="51" s="1"/>
  <c r="T24" i="51"/>
  <c r="T37" i="51" s="1"/>
  <c r="T115" i="51"/>
  <c r="CR11" i="52"/>
  <c r="CO19" i="52"/>
  <c r="CR9" i="52"/>
  <c r="BN27" i="52"/>
  <c r="Y27" i="52"/>
  <c r="CU9" i="52"/>
  <c r="N24" i="51"/>
  <c r="N118" i="51" s="1"/>
  <c r="N115" i="51"/>
  <c r="AH10" i="51"/>
  <c r="X27" i="52"/>
  <c r="CG99" i="52"/>
  <c r="CG42" i="52"/>
  <c r="CG45" i="52" s="1"/>
  <c r="CG109" i="52" s="1"/>
  <c r="CG41" i="52"/>
  <c r="P75" i="52"/>
  <c r="S115" i="51"/>
  <c r="S24" i="51"/>
  <c r="S37" i="51" s="1"/>
  <c r="AH41" i="52"/>
  <c r="AH42" i="52"/>
  <c r="AH45" i="52" s="1"/>
  <c r="AH109" i="52" s="1"/>
  <c r="AH99" i="52"/>
  <c r="E24" i="51"/>
  <c r="E37" i="51" s="1"/>
  <c r="E115" i="51"/>
  <c r="CB27" i="52"/>
  <c r="CB41" i="52" s="1"/>
  <c r="AG75" i="52"/>
  <c r="BK75" i="52"/>
  <c r="CR12" i="52"/>
  <c r="CD75" i="52"/>
  <c r="BX75" i="52"/>
  <c r="C75" i="52"/>
  <c r="C78" i="52" s="1"/>
  <c r="CU8" i="52"/>
  <c r="BW75" i="52"/>
  <c r="R115" i="51"/>
  <c r="R24" i="51"/>
  <c r="R37" i="51" s="1"/>
  <c r="M24" i="51"/>
  <c r="M37" i="51" s="1"/>
  <c r="M115" i="51"/>
  <c r="O115" i="51"/>
  <c r="O24" i="51"/>
  <c r="O37" i="51" s="1"/>
  <c r="AF75" i="52"/>
  <c r="CR18" i="52"/>
  <c r="AD75" i="52"/>
  <c r="AH27" i="51"/>
  <c r="BZ99" i="52"/>
  <c r="BZ41" i="52"/>
  <c r="BZ42" i="52"/>
  <c r="BZ45" i="52" s="1"/>
  <c r="BZ109" i="52" s="1"/>
  <c r="CR10" i="52"/>
  <c r="DA10" i="52"/>
  <c r="CA27" i="52"/>
  <c r="K24" i="51"/>
  <c r="K37" i="51" s="1"/>
  <c r="K115" i="51"/>
  <c r="BM41" i="52"/>
  <c r="BM99" i="52"/>
  <c r="BM42" i="52"/>
  <c r="BM45" i="52" s="1"/>
  <c r="BM109" i="52" s="1"/>
  <c r="O75" i="52"/>
  <c r="AU99" i="52"/>
  <c r="AU41" i="52"/>
  <c r="AU42" i="52"/>
  <c r="AU45" i="52" s="1"/>
  <c r="AU109" i="52" s="1"/>
  <c r="AF146" i="51"/>
  <c r="V24" i="51"/>
  <c r="V37" i="51" s="1"/>
  <c r="V115" i="51"/>
  <c r="BJ75" i="52"/>
  <c r="T99" i="52"/>
  <c r="T41" i="52"/>
  <c r="T42" i="52"/>
  <c r="T45" i="52" s="1"/>
  <c r="T109" i="52" s="1"/>
  <c r="CR16" i="52"/>
  <c r="AH24" i="51"/>
  <c r="AH26" i="51"/>
  <c r="AG150" i="51"/>
  <c r="E27" i="52"/>
  <c r="CC75" i="52"/>
  <c r="DA8" i="52"/>
  <c r="Q41" i="52" l="1"/>
  <c r="I41" i="52"/>
  <c r="E151" i="51"/>
  <c r="H69" i="51"/>
  <c r="H46" i="51"/>
  <c r="BN41" i="52"/>
  <c r="BO41" i="52"/>
  <c r="Z41" i="52"/>
  <c r="Y41" i="52"/>
  <c r="X41" i="52"/>
  <c r="G41" i="52"/>
  <c r="CA41" i="52"/>
  <c r="CA108" i="52"/>
  <c r="DD23" i="52" s="1"/>
  <c r="W41" i="52"/>
  <c r="AV41" i="52"/>
  <c r="E41" i="52"/>
  <c r="AA41" i="52"/>
  <c r="BE41" i="52"/>
  <c r="AE116" i="52"/>
  <c r="AE55" i="52"/>
  <c r="AJ41" i="52"/>
  <c r="H108" i="52"/>
  <c r="CO23" i="52" s="1"/>
  <c r="H41" i="52"/>
  <c r="AX41" i="52"/>
  <c r="R41" i="52"/>
  <c r="K97" i="52"/>
  <c r="AG44" i="52"/>
  <c r="AG47" i="52" s="1"/>
  <c r="R97" i="52"/>
  <c r="BR97" i="52"/>
  <c r="AB97" i="52"/>
  <c r="AM53" i="52"/>
  <c r="AM114" i="52" s="1"/>
  <c r="AA97" i="52"/>
  <c r="AD53" i="52"/>
  <c r="AD114" i="52" s="1"/>
  <c r="BS97" i="52"/>
  <c r="AJ97" i="52"/>
  <c r="CU7" i="52" s="1"/>
  <c r="AK75" i="52"/>
  <c r="V98" i="52"/>
  <c r="J97" i="52"/>
  <c r="AS53" i="52"/>
  <c r="AS114" i="52" s="1"/>
  <c r="AS116" i="52" s="1"/>
  <c r="BH97" i="52"/>
  <c r="AK44" i="52"/>
  <c r="AK47" i="52" s="1"/>
  <c r="BT97" i="52"/>
  <c r="AK59" i="52"/>
  <c r="AK107" i="52" s="1"/>
  <c r="AK116" i="52" s="1"/>
  <c r="AS75" i="52"/>
  <c r="AQ75" i="52"/>
  <c r="Z97" i="52"/>
  <c r="AS44" i="52"/>
  <c r="AS47" i="52" s="1"/>
  <c r="AS55" i="52" s="1"/>
  <c r="Q97" i="52"/>
  <c r="H97" i="52"/>
  <c r="AY97" i="52"/>
  <c r="AC97" i="52"/>
  <c r="I97" i="52"/>
  <c r="BI97" i="52"/>
  <c r="BE97" i="52"/>
  <c r="AE54" i="52"/>
  <c r="BD59" i="52"/>
  <c r="BD107" i="52" s="1"/>
  <c r="AG59" i="52"/>
  <c r="AG107" i="52" s="1"/>
  <c r="AO59" i="52"/>
  <c r="AO107" i="52" s="1"/>
  <c r="L59" i="52"/>
  <c r="L107" i="52" s="1"/>
  <c r="L116" i="52" s="1"/>
  <c r="BW59" i="52"/>
  <c r="BW107" i="52" s="1"/>
  <c r="CE59" i="52"/>
  <c r="CE107" i="52" s="1"/>
  <c r="CE116" i="52" s="1"/>
  <c r="CD59" i="52"/>
  <c r="CD107" i="52" s="1"/>
  <c r="CD116" i="52" s="1"/>
  <c r="BV59" i="52"/>
  <c r="BV107" i="52" s="1"/>
  <c r="BV116" i="52" s="1"/>
  <c r="AR59" i="52"/>
  <c r="AR107" i="52" s="1"/>
  <c r="BB59" i="52"/>
  <c r="BB107" i="52" s="1"/>
  <c r="BB116" i="52" s="1"/>
  <c r="AP59" i="52"/>
  <c r="AP107" i="52" s="1"/>
  <c r="BJ59" i="52"/>
  <c r="BJ107" i="52" s="1"/>
  <c r="BJ116" i="52" s="1"/>
  <c r="BK59" i="52"/>
  <c r="BK107" i="52" s="1"/>
  <c r="C54" i="52"/>
  <c r="AN59" i="52"/>
  <c r="AN107" i="52" s="1"/>
  <c r="AN116" i="52" s="1"/>
  <c r="M59" i="52"/>
  <c r="M107" i="52" s="1"/>
  <c r="M116" i="52" s="1"/>
  <c r="AQ59" i="52"/>
  <c r="AQ107" i="52" s="1"/>
  <c r="AQ116" i="52" s="1"/>
  <c r="AM59" i="52"/>
  <c r="AM107" i="52" s="1"/>
  <c r="AL59" i="52"/>
  <c r="AL107" i="52" s="1"/>
  <c r="AL116" i="52" s="1"/>
  <c r="AF59" i="52"/>
  <c r="AF107" i="52" s="1"/>
  <c r="AF116" i="52" s="1"/>
  <c r="BC59" i="52"/>
  <c r="BC107" i="52" s="1"/>
  <c r="BX59" i="52"/>
  <c r="BX107" i="52" s="1"/>
  <c r="BX116" i="52" s="1"/>
  <c r="AD59" i="52"/>
  <c r="AD107" i="52" s="1"/>
  <c r="AD116" i="52" s="1"/>
  <c r="P59" i="52"/>
  <c r="P107" i="52" s="1"/>
  <c r="P116" i="52" s="1"/>
  <c r="AZ59" i="52"/>
  <c r="AZ107" i="52" s="1"/>
  <c r="AZ116" i="52" s="1"/>
  <c r="CC59" i="52"/>
  <c r="CC107" i="52" s="1"/>
  <c r="CC116" i="52" s="1"/>
  <c r="BA59" i="52"/>
  <c r="BA107" i="52" s="1"/>
  <c r="S59" i="52"/>
  <c r="S107" i="52" s="1"/>
  <c r="S116" i="52" s="1"/>
  <c r="O59" i="52"/>
  <c r="O107" i="52" s="1"/>
  <c r="I45" i="52"/>
  <c r="I109" i="52" s="1"/>
  <c r="V45" i="52"/>
  <c r="V76" i="52" s="1"/>
  <c r="AC45" i="52"/>
  <c r="AC109" i="52" s="1"/>
  <c r="D44" i="52"/>
  <c r="D47" i="52" s="1"/>
  <c r="D55" i="52" s="1"/>
  <c r="BQ45" i="52"/>
  <c r="BQ109" i="52" s="1"/>
  <c r="BJ76" i="52"/>
  <c r="Z45" i="52"/>
  <c r="Z109" i="52" s="1"/>
  <c r="O76" i="52"/>
  <c r="Y47" i="51"/>
  <c r="T45" i="51"/>
  <c r="T44" i="51"/>
  <c r="V44" i="51"/>
  <c r="V45" i="51"/>
  <c r="K45" i="52"/>
  <c r="K109" i="52" s="1"/>
  <c r="BP45" i="52"/>
  <c r="BP109" i="52" s="1"/>
  <c r="L45" i="51"/>
  <c r="P44" i="51"/>
  <c r="P45" i="51"/>
  <c r="X60" i="51"/>
  <c r="X170" i="51" s="1"/>
  <c r="X44" i="51"/>
  <c r="X45" i="51"/>
  <c r="H44" i="51"/>
  <c r="H45" i="51"/>
  <c r="H47" i="51" s="1"/>
  <c r="H48" i="51" s="1"/>
  <c r="M45" i="51"/>
  <c r="M44" i="51"/>
  <c r="W44" i="51"/>
  <c r="W45" i="51"/>
  <c r="AL76" i="52"/>
  <c r="Y45" i="51"/>
  <c r="Q45" i="51"/>
  <c r="Q44" i="51"/>
  <c r="N45" i="51"/>
  <c r="S45" i="51"/>
  <c r="S44" i="51"/>
  <c r="Z47" i="51"/>
  <c r="Z52" i="51" s="1"/>
  <c r="Z153" i="51" s="1"/>
  <c r="Z45" i="51"/>
  <c r="I45" i="51"/>
  <c r="I47" i="51" s="1"/>
  <c r="I49" i="51" s="1"/>
  <c r="O44" i="51"/>
  <c r="O45" i="51"/>
  <c r="R45" i="51"/>
  <c r="R44" i="51"/>
  <c r="R87" i="51" s="1"/>
  <c r="R90" i="51" s="1"/>
  <c r="U45" i="51"/>
  <c r="U44" i="51"/>
  <c r="K45" i="51"/>
  <c r="K47" i="51" s="1"/>
  <c r="K52" i="51" s="1"/>
  <c r="K70" i="51" s="1"/>
  <c r="K164" i="51" s="1"/>
  <c r="K44" i="51"/>
  <c r="BX76" i="52"/>
  <c r="AM76" i="52"/>
  <c r="F45" i="51"/>
  <c r="H45" i="52"/>
  <c r="H109" i="52" s="1"/>
  <c r="BI45" i="52"/>
  <c r="BI109" i="52" s="1"/>
  <c r="BN45" i="52"/>
  <c r="BN109" i="52" s="1"/>
  <c r="BR45" i="52"/>
  <c r="BR109" i="52" s="1"/>
  <c r="Q45" i="52"/>
  <c r="Q109" i="52" s="1"/>
  <c r="BH45" i="52"/>
  <c r="BH109" i="52" s="1"/>
  <c r="AP116" i="52"/>
  <c r="AP76" i="52"/>
  <c r="BG44" i="52"/>
  <c r="AJ45" i="52"/>
  <c r="AJ109" i="52" s="1"/>
  <c r="CA45" i="52"/>
  <c r="CA109" i="52" s="1"/>
  <c r="BT45" i="52"/>
  <c r="BT109" i="52" s="1"/>
  <c r="BU45" i="52"/>
  <c r="BU109" i="52" s="1"/>
  <c r="BS45" i="52"/>
  <c r="BS109" i="52" s="1"/>
  <c r="BL44" i="52"/>
  <c r="AN76" i="52"/>
  <c r="BZ44" i="52"/>
  <c r="BF44" i="52"/>
  <c r="BM44" i="52"/>
  <c r="AI44" i="52"/>
  <c r="AT44" i="52"/>
  <c r="U44" i="52"/>
  <c r="CC76" i="52"/>
  <c r="CF44" i="52"/>
  <c r="O47" i="52"/>
  <c r="AU44" i="52"/>
  <c r="CE76" i="52"/>
  <c r="AO76" i="52"/>
  <c r="CG44" i="52"/>
  <c r="BY44" i="52"/>
  <c r="T44" i="52"/>
  <c r="AH44" i="52"/>
  <c r="AP47" i="52"/>
  <c r="AP55" i="52" s="1"/>
  <c r="CD76" i="52"/>
  <c r="AR116" i="52"/>
  <c r="CC47" i="52"/>
  <c r="AG76" i="52"/>
  <c r="O116" i="52"/>
  <c r="AQ47" i="52"/>
  <c r="AQ55" i="52" s="1"/>
  <c r="Z37" i="51"/>
  <c r="AO116" i="52"/>
  <c r="Z118" i="51"/>
  <c r="BJ47" i="52"/>
  <c r="AQ76" i="52"/>
  <c r="BX47" i="52"/>
  <c r="M76" i="52"/>
  <c r="AB45" i="52"/>
  <c r="AB109" i="52" s="1"/>
  <c r="AD76" i="52"/>
  <c r="N109" i="52"/>
  <c r="N116" i="52" s="1"/>
  <c r="N76" i="52"/>
  <c r="L76" i="52"/>
  <c r="K59" i="52"/>
  <c r="K107" i="52" s="1"/>
  <c r="BV76" i="52"/>
  <c r="AR76" i="52"/>
  <c r="AA45" i="52"/>
  <c r="AA109" i="52" s="1"/>
  <c r="D76" i="52"/>
  <c r="BC47" i="52"/>
  <c r="BC55" i="52" s="1"/>
  <c r="BV47" i="52"/>
  <c r="P47" i="52"/>
  <c r="S47" i="52"/>
  <c r="CE47" i="52"/>
  <c r="BW47" i="52"/>
  <c r="BD47" i="52"/>
  <c r="BD55" i="52" s="1"/>
  <c r="G45" i="52"/>
  <c r="G109" i="52" s="1"/>
  <c r="AZ47" i="52"/>
  <c r="AZ55" i="52" s="1"/>
  <c r="BA47" i="52"/>
  <c r="BA55" i="52" s="1"/>
  <c r="CD47" i="52"/>
  <c r="N47" i="52"/>
  <c r="N55" i="52" s="1"/>
  <c r="R44" i="52"/>
  <c r="AO47" i="52"/>
  <c r="AO55" i="52" s="1"/>
  <c r="AL47" i="52"/>
  <c r="AL55" i="52" s="1"/>
  <c r="BK47" i="52"/>
  <c r="BK55" i="52" s="1"/>
  <c r="AR47" i="52"/>
  <c r="AR55" i="52" s="1"/>
  <c r="AD47" i="52"/>
  <c r="AM47" i="52"/>
  <c r="M47" i="52"/>
  <c r="M55" i="52" s="1"/>
  <c r="L47" i="52"/>
  <c r="BB47" i="52"/>
  <c r="AF47" i="52"/>
  <c r="AN47" i="52"/>
  <c r="AN55" i="52" s="1"/>
  <c r="F45" i="52"/>
  <c r="P47" i="51"/>
  <c r="V47" i="51"/>
  <c r="T47" i="51"/>
  <c r="BK76" i="52"/>
  <c r="O47" i="51"/>
  <c r="N47" i="51"/>
  <c r="S47" i="51"/>
  <c r="W47" i="51"/>
  <c r="W87" i="51"/>
  <c r="W90" i="51" s="1"/>
  <c r="BD76" i="52"/>
  <c r="Q47" i="51"/>
  <c r="BD116" i="52"/>
  <c r="R47" i="51"/>
  <c r="U47" i="51"/>
  <c r="R45" i="52"/>
  <c r="R109" i="52" s="1"/>
  <c r="X45" i="52"/>
  <c r="X109" i="52" s="1"/>
  <c r="Y45" i="52"/>
  <c r="Y109" i="52" s="1"/>
  <c r="M47" i="51"/>
  <c r="M52" i="51" s="1"/>
  <c r="M70" i="51" s="1"/>
  <c r="M164" i="51" s="1"/>
  <c r="F47" i="51"/>
  <c r="L47" i="51"/>
  <c r="AA46" i="51"/>
  <c r="AA48" i="51" s="1"/>
  <c r="P76" i="52"/>
  <c r="X87" i="51"/>
  <c r="X90" i="51" s="1"/>
  <c r="X47" i="51"/>
  <c r="Y46" i="51"/>
  <c r="Y48" i="51" s="1"/>
  <c r="Y52" i="51" s="1"/>
  <c r="Y153" i="51" s="1"/>
  <c r="Y60" i="51"/>
  <c r="Y170" i="51" s="1"/>
  <c r="AA60" i="51"/>
  <c r="AA170" i="51" s="1"/>
  <c r="D49" i="51"/>
  <c r="D52" i="51"/>
  <c r="BO45" i="52"/>
  <c r="BO109" i="52" s="1"/>
  <c r="M60" i="51"/>
  <c r="M170" i="51" s="1"/>
  <c r="P60" i="51"/>
  <c r="P170" i="51" s="1"/>
  <c r="O60" i="51"/>
  <c r="O170" i="51" s="1"/>
  <c r="N60" i="51"/>
  <c r="N170" i="51" s="1"/>
  <c r="L60" i="51"/>
  <c r="L170" i="51" s="1"/>
  <c r="K60" i="51"/>
  <c r="K170" i="51" s="1"/>
  <c r="J60" i="51"/>
  <c r="J170" i="51" s="1"/>
  <c r="I60" i="51"/>
  <c r="I170" i="51" s="1"/>
  <c r="AG116" i="52"/>
  <c r="S76" i="52"/>
  <c r="BW116" i="52"/>
  <c r="AV45" i="52"/>
  <c r="N107" i="51"/>
  <c r="S107" i="51"/>
  <c r="W107" i="51"/>
  <c r="I107" i="51"/>
  <c r="E60" i="51"/>
  <c r="E170" i="51" s="1"/>
  <c r="R107" i="51"/>
  <c r="K107" i="51"/>
  <c r="D107" i="51"/>
  <c r="F60" i="51"/>
  <c r="F170" i="51" s="1"/>
  <c r="G60" i="51"/>
  <c r="G170" i="51" s="1"/>
  <c r="H60" i="51"/>
  <c r="H170" i="51" s="1"/>
  <c r="Y107" i="51"/>
  <c r="BB76" i="52"/>
  <c r="BK116" i="52"/>
  <c r="BE45" i="52"/>
  <c r="BE109" i="52" s="1"/>
  <c r="BW76" i="52"/>
  <c r="BC76" i="52"/>
  <c r="AF76" i="52"/>
  <c r="BA116" i="52"/>
  <c r="BL47" i="52"/>
  <c r="AI47" i="52"/>
  <c r="AW45" i="52"/>
  <c r="AW109" i="52" s="1"/>
  <c r="AT47" i="52"/>
  <c r="AW97" i="52"/>
  <c r="BF116" i="52"/>
  <c r="E45" i="52"/>
  <c r="BM47" i="52"/>
  <c r="BM116" i="52"/>
  <c r="U47" i="52"/>
  <c r="U116" i="52"/>
  <c r="BC116" i="52"/>
  <c r="BF47" i="52"/>
  <c r="BF55" i="52" s="1"/>
  <c r="T47" i="52"/>
  <c r="T116" i="52"/>
  <c r="CG47" i="52"/>
  <c r="CG116" i="52"/>
  <c r="BY47" i="52"/>
  <c r="AC153" i="51"/>
  <c r="AC171" i="51" s="1"/>
  <c r="AZ76" i="52"/>
  <c r="AX45" i="52"/>
  <c r="AX109" i="52" s="1"/>
  <c r="AU47" i="52"/>
  <c r="AH47" i="52"/>
  <c r="AH116" i="52"/>
  <c r="AY45" i="52"/>
  <c r="AY109" i="52" s="1"/>
  <c r="AX97" i="52"/>
  <c r="BZ47" i="52"/>
  <c r="BG47" i="52"/>
  <c r="BG55" i="52" s="1"/>
  <c r="BG116" i="52"/>
  <c r="BA76" i="52"/>
  <c r="AV97" i="52"/>
  <c r="CF47" i="52"/>
  <c r="W45" i="52"/>
  <c r="W109" i="52" s="1"/>
  <c r="W98" i="52"/>
  <c r="C114" i="52"/>
  <c r="C116" i="52" s="1"/>
  <c r="F118" i="51"/>
  <c r="D64" i="51"/>
  <c r="D159" i="51" s="1"/>
  <c r="J153" i="51"/>
  <c r="E118" i="51"/>
  <c r="N37" i="51"/>
  <c r="N44" i="51" s="1"/>
  <c r="AA37" i="51"/>
  <c r="Y37" i="51"/>
  <c r="Y64" i="51" s="1"/>
  <c r="Y159" i="51" s="1"/>
  <c r="G37" i="51"/>
  <c r="G44" i="51" s="1"/>
  <c r="L37" i="51"/>
  <c r="L44" i="51" s="1"/>
  <c r="J37" i="51"/>
  <c r="F37" i="51"/>
  <c r="F44" i="51" s="1"/>
  <c r="D66" i="51"/>
  <c r="D161" i="51" s="1"/>
  <c r="BI51" i="52"/>
  <c r="BI113" i="52" s="1"/>
  <c r="D51" i="52"/>
  <c r="D113" i="52" s="1"/>
  <c r="D53" i="52"/>
  <c r="D114" i="52" s="1"/>
  <c r="BT51" i="52"/>
  <c r="BT113" i="52" s="1"/>
  <c r="BH51" i="52"/>
  <c r="I51" i="52"/>
  <c r="I113" i="52" s="1"/>
  <c r="BT75" i="52"/>
  <c r="BT78" i="52" s="1"/>
  <c r="BT80" i="52" s="1" a="1"/>
  <c r="BT80" i="52" s="1"/>
  <c r="T170" i="51"/>
  <c r="V170" i="51"/>
  <c r="S170" i="51"/>
  <c r="BU97" i="52"/>
  <c r="Q170" i="51"/>
  <c r="R170" i="51"/>
  <c r="U170" i="51"/>
  <c r="W170" i="51"/>
  <c r="J59" i="52"/>
  <c r="J107" i="52" s="1"/>
  <c r="BQ97" i="52"/>
  <c r="BO97" i="52"/>
  <c r="R64" i="51"/>
  <c r="R159" i="51" s="1"/>
  <c r="AC76" i="52"/>
  <c r="AJ76" i="52"/>
  <c r="X64" i="51"/>
  <c r="X159" i="51" s="1"/>
  <c r="G97" i="52"/>
  <c r="J76" i="52"/>
  <c r="W64" i="51"/>
  <c r="W159" i="51" s="1"/>
  <c r="U118" i="51"/>
  <c r="BI82" i="52"/>
  <c r="AH42" i="51"/>
  <c r="AH21" i="51"/>
  <c r="F97" i="52"/>
  <c r="Q118" i="51"/>
  <c r="AH17" i="51"/>
  <c r="O118" i="51"/>
  <c r="C84" i="52"/>
  <c r="C82" i="52"/>
  <c r="CB76" i="52"/>
  <c r="S118" i="51"/>
  <c r="X97" i="52"/>
  <c r="V118" i="51"/>
  <c r="E97" i="52"/>
  <c r="K118" i="51"/>
  <c r="CB97" i="52"/>
  <c r="Y97" i="52"/>
  <c r="H118" i="51"/>
  <c r="AB49" i="51"/>
  <c r="AB54" i="51" s="1"/>
  <c r="BY116" i="52"/>
  <c r="AA118" i="51"/>
  <c r="Y118" i="51"/>
  <c r="M118" i="51"/>
  <c r="T118" i="51"/>
  <c r="X118" i="51"/>
  <c r="BP97" i="52"/>
  <c r="BL116" i="52"/>
  <c r="W118" i="51"/>
  <c r="BN97" i="52"/>
  <c r="P118" i="51"/>
  <c r="CA97" i="52"/>
  <c r="I118" i="51"/>
  <c r="AT116" i="52"/>
  <c r="J118" i="51"/>
  <c r="D75" i="52"/>
  <c r="D78" i="52" s="1"/>
  <c r="CF116" i="52"/>
  <c r="AU116" i="52"/>
  <c r="BZ116" i="52"/>
  <c r="R118" i="51"/>
  <c r="AI116" i="52"/>
  <c r="AC49" i="51"/>
  <c r="AC54" i="51" s="1"/>
  <c r="CX7" i="52" l="1"/>
  <c r="S55" i="52"/>
  <c r="Z70" i="51"/>
  <c r="Z164" i="51" s="1"/>
  <c r="AM116" i="52"/>
  <c r="H59" i="52"/>
  <c r="H107" i="52" s="1"/>
  <c r="V59" i="52"/>
  <c r="V107" i="52" s="1"/>
  <c r="CR7" i="52"/>
  <c r="I52" i="51"/>
  <c r="I70" i="51" s="1"/>
  <c r="I164" i="51" s="1"/>
  <c r="G151" i="51"/>
  <c r="AH36" i="51" s="1"/>
  <c r="P55" i="52"/>
  <c r="BJ55" i="52"/>
  <c r="AK54" i="52"/>
  <c r="AK117" i="52" s="1"/>
  <c r="AE117" i="52"/>
  <c r="AF55" i="52"/>
  <c r="Z76" i="52"/>
  <c r="BP76" i="52"/>
  <c r="X59" i="52"/>
  <c r="X107" i="52" s="1"/>
  <c r="Z59" i="52"/>
  <c r="Z107" i="52" s="1"/>
  <c r="BI76" i="52"/>
  <c r="L55" i="52"/>
  <c r="CA76" i="52"/>
  <c r="BR76" i="52"/>
  <c r="BQ76" i="52"/>
  <c r="BN76" i="52"/>
  <c r="AG55" i="52"/>
  <c r="AD55" i="52"/>
  <c r="BB55" i="52"/>
  <c r="AS54" i="52"/>
  <c r="AS117" i="52" s="1"/>
  <c r="AM55" i="52"/>
  <c r="H51" i="52"/>
  <c r="H113" i="52" s="1"/>
  <c r="BS76" i="52"/>
  <c r="I59" i="52"/>
  <c r="I107" i="52" s="1"/>
  <c r="AA59" i="52"/>
  <c r="AA107" i="52" s="1"/>
  <c r="BH76" i="52"/>
  <c r="BH80" i="52" s="1" a="1"/>
  <c r="BH80" i="52" s="1"/>
  <c r="I76" i="52"/>
  <c r="AK55" i="52"/>
  <c r="AH54" i="52"/>
  <c r="AH117" i="52" s="1"/>
  <c r="AH55" i="52"/>
  <c r="AH84" i="52" s="1"/>
  <c r="BM54" i="52"/>
  <c r="BM82" i="52" s="1"/>
  <c r="BM55" i="52"/>
  <c r="BM84" i="52" s="1"/>
  <c r="BL54" i="52"/>
  <c r="BL55" i="52"/>
  <c r="BL84" i="52" s="1"/>
  <c r="BW55" i="52"/>
  <c r="Q59" i="52"/>
  <c r="Q107" i="52" s="1"/>
  <c r="BZ54" i="52"/>
  <c r="BZ55" i="52"/>
  <c r="CF54" i="52"/>
  <c r="CF82" i="52" s="1"/>
  <c r="CF55" i="52"/>
  <c r="CF84" i="52" s="1"/>
  <c r="CC55" i="52"/>
  <c r="AU54" i="52"/>
  <c r="AU55" i="52"/>
  <c r="O55" i="52"/>
  <c r="T54" i="52"/>
  <c r="T82" i="52" s="1"/>
  <c r="T55" i="52"/>
  <c r="T84" i="52" s="1"/>
  <c r="BY54" i="52"/>
  <c r="BY82" i="52" s="1"/>
  <c r="BY55" i="52"/>
  <c r="BY84" i="52" s="1"/>
  <c r="AT54" i="52"/>
  <c r="AT55" i="52"/>
  <c r="AT84" i="52" s="1"/>
  <c r="BV55" i="52"/>
  <c r="U54" i="52"/>
  <c r="U117" i="52" s="1"/>
  <c r="U55" i="52"/>
  <c r="U84" i="52" s="1"/>
  <c r="CD55" i="52"/>
  <c r="Y59" i="52"/>
  <c r="Y107" i="52" s="1"/>
  <c r="CG54" i="52"/>
  <c r="CG82" i="52" s="1"/>
  <c r="CG55" i="52"/>
  <c r="CG84" i="52" s="1"/>
  <c r="AI54" i="52"/>
  <c r="AI55" i="52"/>
  <c r="AI84" i="52" s="1"/>
  <c r="BX55" i="52"/>
  <c r="CE55" i="52"/>
  <c r="AG54" i="52"/>
  <c r="AG117" i="52" s="1"/>
  <c r="BK54" i="52"/>
  <c r="BK117" i="52" s="1"/>
  <c r="AZ54" i="52"/>
  <c r="AZ117" i="52" s="1"/>
  <c r="BC54" i="52"/>
  <c r="BC117" i="52" s="1"/>
  <c r="AP54" i="52"/>
  <c r="AP117" i="52" s="1"/>
  <c r="O54" i="52"/>
  <c r="O117" i="52" s="1"/>
  <c r="AF54" i="52"/>
  <c r="AF117" i="52" s="1"/>
  <c r="AL54" i="52"/>
  <c r="AL117" i="52" s="1"/>
  <c r="BB54" i="52"/>
  <c r="BB117" i="52" s="1"/>
  <c r="AO54" i="52"/>
  <c r="AO117" i="52" s="1"/>
  <c r="BD54" i="52"/>
  <c r="BD117" i="52" s="1"/>
  <c r="V109" i="52"/>
  <c r="CR24" i="52" s="1"/>
  <c r="L54" i="52"/>
  <c r="L117" i="52" s="1"/>
  <c r="BW54" i="52"/>
  <c r="BW117" i="52" s="1"/>
  <c r="W59" i="52"/>
  <c r="W107" i="52" s="1"/>
  <c r="M54" i="52"/>
  <c r="M117" i="52" s="1"/>
  <c r="CE54" i="52"/>
  <c r="CE117" i="52" s="1"/>
  <c r="BX54" i="52"/>
  <c r="BX117" i="52" s="1"/>
  <c r="CC54" i="52"/>
  <c r="CC117" i="52" s="1"/>
  <c r="AM54" i="52"/>
  <c r="AM117" i="52" s="1"/>
  <c r="N54" i="52"/>
  <c r="N117" i="52" s="1"/>
  <c r="S54" i="52"/>
  <c r="AD54" i="52"/>
  <c r="AD117" i="52" s="1"/>
  <c r="CD54" i="52"/>
  <c r="CD117" i="52" s="1"/>
  <c r="P54" i="52"/>
  <c r="P117" i="52" s="1"/>
  <c r="AQ54" i="52"/>
  <c r="AQ117" i="52" s="1"/>
  <c r="AN54" i="52"/>
  <c r="AN117" i="52" s="1"/>
  <c r="AR54" i="52"/>
  <c r="AR117" i="52" s="1"/>
  <c r="BA54" i="52"/>
  <c r="BV54" i="52"/>
  <c r="BV117" i="52" s="1"/>
  <c r="BJ54" i="52"/>
  <c r="BJ117" i="52" s="1"/>
  <c r="F109" i="52"/>
  <c r="BN44" i="52"/>
  <c r="BN47" i="52" s="1"/>
  <c r="BN59" i="52"/>
  <c r="BN107" i="52" s="1"/>
  <c r="CA44" i="52"/>
  <c r="CA47" i="52" s="1"/>
  <c r="CA59" i="52"/>
  <c r="CA107" i="52" s="1"/>
  <c r="AJ44" i="52"/>
  <c r="AJ47" i="52" s="1"/>
  <c r="AJ59" i="52"/>
  <c r="AJ107" i="52" s="1"/>
  <c r="BS44" i="52"/>
  <c r="BS47" i="52" s="1"/>
  <c r="BS59" i="52"/>
  <c r="AX44" i="52"/>
  <c r="AX47" i="52" s="1"/>
  <c r="AX59" i="52"/>
  <c r="AX107" i="52" s="1"/>
  <c r="AW44" i="52"/>
  <c r="AW59" i="52"/>
  <c r="AW107" i="52" s="1"/>
  <c r="CB44" i="52"/>
  <c r="CB47" i="52" s="1"/>
  <c r="CB59" i="52"/>
  <c r="CB107" i="52" s="1"/>
  <c r="BP44" i="52"/>
  <c r="BP47" i="52" s="1"/>
  <c r="BP59" i="52"/>
  <c r="AB44" i="52"/>
  <c r="AB47" i="52" s="1"/>
  <c r="AB55" i="52" s="1"/>
  <c r="AB59" i="52"/>
  <c r="AB107" i="52" s="1"/>
  <c r="AY44" i="52"/>
  <c r="AY47" i="52" s="1"/>
  <c r="AY59" i="52"/>
  <c r="AY107" i="52" s="1"/>
  <c r="BR44" i="52"/>
  <c r="BR47" i="52" s="1"/>
  <c r="BR59" i="52"/>
  <c r="BR107" i="52" s="1"/>
  <c r="BO44" i="52"/>
  <c r="BO47" i="52" s="1"/>
  <c r="BO59" i="52"/>
  <c r="BO107" i="52" s="1"/>
  <c r="AV44" i="52"/>
  <c r="AV47" i="52" s="1"/>
  <c r="AV59" i="52"/>
  <c r="AV107" i="52" s="1"/>
  <c r="BT53" i="52"/>
  <c r="BT114" i="52" s="1"/>
  <c r="BT59" i="52"/>
  <c r="BT107" i="52" s="1"/>
  <c r="AC44" i="52"/>
  <c r="AC47" i="52" s="1"/>
  <c r="AC59" i="52"/>
  <c r="AC107" i="52" s="1"/>
  <c r="BE44" i="52"/>
  <c r="BE47" i="52" s="1"/>
  <c r="BE59" i="52"/>
  <c r="BE107" i="52" s="1"/>
  <c r="BQ44" i="52"/>
  <c r="BQ47" i="52" s="1"/>
  <c r="BQ59" i="52"/>
  <c r="BU44" i="52"/>
  <c r="BU47" i="52" s="1"/>
  <c r="BU59" i="52"/>
  <c r="BU107" i="52" s="1"/>
  <c r="D54" i="52"/>
  <c r="G59" i="52"/>
  <c r="G107" i="52" s="1"/>
  <c r="BI44" i="52"/>
  <c r="BI47" i="52" s="1"/>
  <c r="BI59" i="52"/>
  <c r="BI107" i="52" s="1"/>
  <c r="BH44" i="52"/>
  <c r="BH47" i="52" s="1"/>
  <c r="BH82" i="52" s="1"/>
  <c r="BH59" i="52"/>
  <c r="BH107" i="52" s="1"/>
  <c r="R59" i="52"/>
  <c r="R107" i="52" s="1"/>
  <c r="R116" i="52" s="1"/>
  <c r="E109" i="52"/>
  <c r="AA44" i="52"/>
  <c r="AA47" i="52" s="1"/>
  <c r="R75" i="52"/>
  <c r="R78" i="52" s="1"/>
  <c r="X44" i="52"/>
  <c r="X47" i="52" s="1"/>
  <c r="Z44" i="52"/>
  <c r="Z47" i="52" s="1"/>
  <c r="V44" i="52"/>
  <c r="V47" i="52" s="1"/>
  <c r="K44" i="52"/>
  <c r="K47" i="52" s="1"/>
  <c r="K55" i="52" s="1"/>
  <c r="Y44" i="52"/>
  <c r="Y47" i="52" s="1"/>
  <c r="J44" i="52"/>
  <c r="J47" i="52" s="1"/>
  <c r="J55" i="52" s="1"/>
  <c r="H44" i="52"/>
  <c r="R53" i="52"/>
  <c r="R114" i="52" s="1"/>
  <c r="I44" i="52"/>
  <c r="I47" i="52" s="1"/>
  <c r="I55" i="52" s="1"/>
  <c r="G44" i="52"/>
  <c r="G47" i="52" s="1"/>
  <c r="Q76" i="52"/>
  <c r="AA44" i="51"/>
  <c r="AA49" i="51" s="1"/>
  <c r="Y70" i="51"/>
  <c r="Y164" i="51" s="1"/>
  <c r="D54" i="51"/>
  <c r="D68" i="51" s="1"/>
  <c r="D70" i="51"/>
  <c r="D164" i="51" s="1"/>
  <c r="J44" i="51"/>
  <c r="J49" i="51" s="1"/>
  <c r="J54" i="51" s="1"/>
  <c r="J70" i="51"/>
  <c r="J164" i="51" s="1"/>
  <c r="H76" i="52"/>
  <c r="K76" i="52"/>
  <c r="BT76" i="52"/>
  <c r="X76" i="52"/>
  <c r="G45" i="51"/>
  <c r="G47" i="51" s="1"/>
  <c r="G52" i="51" s="1"/>
  <c r="G153" i="51" s="1"/>
  <c r="E45" i="51"/>
  <c r="E47" i="51" s="1"/>
  <c r="Y44" i="51"/>
  <c r="Y66" i="51" s="1"/>
  <c r="Y161" i="51" s="1"/>
  <c r="Z44" i="51"/>
  <c r="Z66" i="51" s="1"/>
  <c r="Z161" i="51" s="1"/>
  <c r="C47" i="51"/>
  <c r="F69" i="51"/>
  <c r="E44" i="51"/>
  <c r="E64" i="51" s="1"/>
  <c r="E159" i="51" s="1"/>
  <c r="AG163" i="51" s="1"/>
  <c r="BU76" i="52"/>
  <c r="BH75" i="52"/>
  <c r="BH78" i="52" s="1"/>
  <c r="BH53" i="52"/>
  <c r="BH114" i="52" s="1"/>
  <c r="BT44" i="52"/>
  <c r="BT47" i="52" s="1"/>
  <c r="AB76" i="52"/>
  <c r="Q53" i="52"/>
  <c r="Q114" i="52" s="1"/>
  <c r="Q116" i="52" s="1"/>
  <c r="Q44" i="52"/>
  <c r="Q47" i="52" s="1"/>
  <c r="Q55" i="52" s="1"/>
  <c r="Q75" i="52"/>
  <c r="Q78" i="52" s="1"/>
  <c r="G76" i="52"/>
  <c r="K75" i="52"/>
  <c r="K53" i="52"/>
  <c r="K114" i="52" s="1"/>
  <c r="K116" i="52" s="1"/>
  <c r="Y76" i="52"/>
  <c r="BI53" i="52"/>
  <c r="BI114" i="52" s="1"/>
  <c r="AV76" i="52"/>
  <c r="AV109" i="52"/>
  <c r="AA76" i="52"/>
  <c r="S117" i="52"/>
  <c r="BA117" i="52"/>
  <c r="R47" i="52"/>
  <c r="W53" i="52"/>
  <c r="W114" i="52" s="1"/>
  <c r="W44" i="52"/>
  <c r="W47" i="52" s="1"/>
  <c r="AW47" i="52"/>
  <c r="F76" i="52"/>
  <c r="S49" i="51"/>
  <c r="S52" i="51"/>
  <c r="V49" i="51"/>
  <c r="V52" i="51"/>
  <c r="CX16" i="52"/>
  <c r="N52" i="51"/>
  <c r="N153" i="51" s="1"/>
  <c r="N49" i="51"/>
  <c r="BE51" i="52"/>
  <c r="BE113" i="52" s="1"/>
  <c r="U49" i="51"/>
  <c r="U52" i="51"/>
  <c r="T49" i="51"/>
  <c r="T52" i="51"/>
  <c r="BO76" i="52"/>
  <c r="O52" i="51"/>
  <c r="O49" i="51"/>
  <c r="P49" i="51"/>
  <c r="P52" i="51"/>
  <c r="R76" i="52"/>
  <c r="K49" i="51"/>
  <c r="R49" i="51"/>
  <c r="R52" i="51"/>
  <c r="Q52" i="51"/>
  <c r="Q49" i="51"/>
  <c r="W49" i="51"/>
  <c r="W52" i="51"/>
  <c r="BI75" i="52"/>
  <c r="BI78" i="52" s="1"/>
  <c r="M49" i="51"/>
  <c r="H52" i="51"/>
  <c r="H70" i="51" s="1"/>
  <c r="H164" i="51" s="1"/>
  <c r="H49" i="51"/>
  <c r="F52" i="51"/>
  <c r="F49" i="51"/>
  <c r="L52" i="51"/>
  <c r="L153" i="51" s="1"/>
  <c r="L49" i="51"/>
  <c r="BH113" i="52"/>
  <c r="CX19" i="52" s="1"/>
  <c r="AA52" i="51"/>
  <c r="AA153" i="51" s="1"/>
  <c r="X49" i="51"/>
  <c r="X52" i="51"/>
  <c r="X88" i="51" s="1"/>
  <c r="X92" i="51" s="1" a="1"/>
  <c r="X92" i="51" s="1"/>
  <c r="Z64" i="51"/>
  <c r="Z159" i="51" s="1"/>
  <c r="AA64" i="51"/>
  <c r="AA159" i="51" s="1"/>
  <c r="BE76" i="52"/>
  <c r="C117" i="52"/>
  <c r="BE75" i="52"/>
  <c r="BE78" i="52" s="1"/>
  <c r="P107" i="51"/>
  <c r="T107" i="51"/>
  <c r="Q107" i="51"/>
  <c r="L107" i="51"/>
  <c r="X107" i="51"/>
  <c r="O107" i="51"/>
  <c r="M107" i="51"/>
  <c r="V107" i="51"/>
  <c r="F107" i="51"/>
  <c r="U107" i="51"/>
  <c r="BE53" i="52"/>
  <c r="BE114" i="52" s="1"/>
  <c r="I54" i="51"/>
  <c r="J88" i="51"/>
  <c r="W76" i="52"/>
  <c r="E76" i="52"/>
  <c r="BU53" i="52"/>
  <c r="BU114" i="52" s="1"/>
  <c r="AX76" i="52"/>
  <c r="V53" i="52"/>
  <c r="V114" i="52" s="1"/>
  <c r="BS53" i="52"/>
  <c r="BS114" i="52" s="1"/>
  <c r="AY51" i="52"/>
  <c r="AY113" i="52" s="1"/>
  <c r="AY75" i="52"/>
  <c r="AY78" i="52" s="1"/>
  <c r="AY53" i="52"/>
  <c r="AY114" i="52" s="1"/>
  <c r="BR53" i="52"/>
  <c r="BR114" i="52" s="1"/>
  <c r="H53" i="52"/>
  <c r="H114" i="52" s="1"/>
  <c r="DG7" i="52"/>
  <c r="BT69" i="52"/>
  <c r="AW75" i="52"/>
  <c r="AW78" i="52" s="1"/>
  <c r="AW53" i="52"/>
  <c r="AW114" i="52" s="1"/>
  <c r="AW51" i="52"/>
  <c r="AW113" i="52" s="1"/>
  <c r="AW76" i="52"/>
  <c r="AV75" i="52"/>
  <c r="AV78" i="52" s="1"/>
  <c r="AV53" i="52"/>
  <c r="AV114" i="52" s="1"/>
  <c r="AV51" i="52"/>
  <c r="AV113" i="52" s="1"/>
  <c r="BG84" i="52"/>
  <c r="BG54" i="52"/>
  <c r="AX75" i="52"/>
  <c r="AX78" i="52" s="1"/>
  <c r="AX53" i="52"/>
  <c r="AX114" i="52" s="1"/>
  <c r="AX51" i="52"/>
  <c r="AX113" i="52" s="1"/>
  <c r="BN53" i="52"/>
  <c r="BN114" i="52" s="1"/>
  <c r="BO53" i="52"/>
  <c r="BO114" i="52" s="1"/>
  <c r="BF54" i="52"/>
  <c r="BF84" i="52"/>
  <c r="Z53" i="52"/>
  <c r="Z114" i="52" s="1"/>
  <c r="G53" i="52"/>
  <c r="G114" i="52" s="1"/>
  <c r="AC53" i="52"/>
  <c r="AC114" i="52" s="1"/>
  <c r="AA82" i="52"/>
  <c r="BQ53" i="52"/>
  <c r="BQ114" i="52" s="1"/>
  <c r="I53" i="52"/>
  <c r="I114" i="52" s="1"/>
  <c r="I116" i="52" s="1"/>
  <c r="AY76" i="52"/>
  <c r="W75" i="52"/>
  <c r="W78" i="52" s="1"/>
  <c r="W51" i="52"/>
  <c r="I75" i="52"/>
  <c r="CA53" i="52"/>
  <c r="CA114" i="52" s="1"/>
  <c r="CA51" i="52"/>
  <c r="CA113" i="52" s="1"/>
  <c r="AC67" i="51"/>
  <c r="K153" i="51"/>
  <c r="H75" i="52"/>
  <c r="H78" i="52" s="1"/>
  <c r="M153" i="51"/>
  <c r="AA66" i="51"/>
  <c r="AA161" i="51" s="1"/>
  <c r="AA87" i="51"/>
  <c r="AA90" i="51" s="1"/>
  <c r="O66" i="51"/>
  <c r="O161" i="51" s="1"/>
  <c r="S66" i="51"/>
  <c r="S161" i="51" s="1"/>
  <c r="D116" i="52"/>
  <c r="Q66" i="51"/>
  <c r="Q161" i="51" s="1"/>
  <c r="V66" i="51"/>
  <c r="V161" i="51" s="1"/>
  <c r="N66" i="51"/>
  <c r="N161" i="51" s="1"/>
  <c r="BT84" i="52"/>
  <c r="BT82" i="52"/>
  <c r="BP51" i="52"/>
  <c r="BP113" i="52" s="1"/>
  <c r="BP53" i="52"/>
  <c r="BP114" i="52" s="1"/>
  <c r="W66" i="51"/>
  <c r="W161" i="51" s="1"/>
  <c r="I66" i="51"/>
  <c r="I161" i="51" s="1"/>
  <c r="CB51" i="52"/>
  <c r="CB113" i="52" s="1"/>
  <c r="CB53" i="52"/>
  <c r="CB114" i="52" s="1"/>
  <c r="H66" i="51"/>
  <c r="H161" i="51" s="1"/>
  <c r="AA53" i="52"/>
  <c r="AA114" i="52" s="1"/>
  <c r="Y51" i="52"/>
  <c r="Y113" i="52" s="1"/>
  <c r="Y53" i="52"/>
  <c r="Y114" i="52" s="1"/>
  <c r="K66" i="51"/>
  <c r="K161" i="51" s="1"/>
  <c r="L66" i="51"/>
  <c r="L161" i="51" s="1"/>
  <c r="H80" i="52" a="1"/>
  <c r="H80" i="52" s="1"/>
  <c r="AJ51" i="52"/>
  <c r="AJ113" i="52" s="1"/>
  <c r="CU19" i="52" s="1"/>
  <c r="AJ53" i="52"/>
  <c r="AJ114" i="52" s="1"/>
  <c r="CU20" i="52" s="1"/>
  <c r="R66" i="51"/>
  <c r="R161" i="51" s="1"/>
  <c r="T64" i="51"/>
  <c r="T159" i="51" s="1"/>
  <c r="T66" i="51"/>
  <c r="T161" i="51" s="1"/>
  <c r="J51" i="52"/>
  <c r="J113" i="52" s="1"/>
  <c r="J53" i="52"/>
  <c r="J114" i="52" s="1"/>
  <c r="AB53" i="52"/>
  <c r="AB114" i="52" s="1"/>
  <c r="X66" i="51"/>
  <c r="X161" i="51" s="1"/>
  <c r="P87" i="51"/>
  <c r="P90" i="51" s="1"/>
  <c r="P66" i="51"/>
  <c r="P161" i="51" s="1"/>
  <c r="X51" i="52"/>
  <c r="X113" i="52" s="1"/>
  <c r="X53" i="52"/>
  <c r="X114" i="52" s="1"/>
  <c r="U66" i="51"/>
  <c r="U161" i="51" s="1"/>
  <c r="M66" i="51"/>
  <c r="M161" i="51" s="1"/>
  <c r="J75" i="52"/>
  <c r="J78" i="52" s="1"/>
  <c r="J80" i="52" s="1" a="1"/>
  <c r="J80" i="52" s="1"/>
  <c r="BO51" i="52"/>
  <c r="BO75" i="52"/>
  <c r="BO78" i="52" s="1"/>
  <c r="BQ75" i="52"/>
  <c r="BQ78" i="52" s="1"/>
  <c r="BQ80" i="52" s="1" a="1"/>
  <c r="BQ80" i="52" s="1"/>
  <c r="BQ51" i="52"/>
  <c r="BQ113" i="52" s="1"/>
  <c r="BU51" i="52"/>
  <c r="BU113" i="52" s="1"/>
  <c r="BU75" i="52"/>
  <c r="BU78" i="52" s="1"/>
  <c r="BS51" i="52"/>
  <c r="BS113" i="52" s="1"/>
  <c r="BS75" i="52"/>
  <c r="BS78" i="52" s="1"/>
  <c r="AJ75" i="52"/>
  <c r="AJ78" i="52" s="1"/>
  <c r="AB51" i="52"/>
  <c r="AB75" i="52"/>
  <c r="AB78" i="52" s="1"/>
  <c r="AA51" i="52"/>
  <c r="AA75" i="52"/>
  <c r="I78" i="52"/>
  <c r="I80" i="52" s="1" a="1"/>
  <c r="I80" i="52" s="1"/>
  <c r="V64" i="51"/>
  <c r="V159" i="51" s="1"/>
  <c r="S64" i="51"/>
  <c r="S159" i="51" s="1"/>
  <c r="P64" i="51"/>
  <c r="P159" i="51" s="1"/>
  <c r="G51" i="52"/>
  <c r="G113" i="52" s="1"/>
  <c r="G75" i="52"/>
  <c r="O64" i="51"/>
  <c r="O159" i="51" s="1"/>
  <c r="M64" i="51"/>
  <c r="M159" i="51" s="1"/>
  <c r="BR51" i="52"/>
  <c r="BR113" i="52" s="1"/>
  <c r="BR75" i="52"/>
  <c r="N64" i="51"/>
  <c r="N159" i="51" s="1"/>
  <c r="Q64" i="51"/>
  <c r="Q159" i="51" s="1"/>
  <c r="K64" i="51"/>
  <c r="K159" i="51" s="1"/>
  <c r="H64" i="51"/>
  <c r="H159" i="51" s="1"/>
  <c r="CU16" i="52"/>
  <c r="M87" i="51"/>
  <c r="M90" i="51" s="1"/>
  <c r="G64" i="51"/>
  <c r="V51" i="52"/>
  <c r="V113" i="52" s="1"/>
  <c r="Z51" i="52"/>
  <c r="Z113" i="52" s="1"/>
  <c r="Z75" i="52"/>
  <c r="I64" i="51"/>
  <c r="I159" i="51" s="1"/>
  <c r="L64" i="51"/>
  <c r="L159" i="51" s="1"/>
  <c r="F64" i="51"/>
  <c r="F159" i="51" s="1"/>
  <c r="AC51" i="52"/>
  <c r="AC113" i="52" s="1"/>
  <c r="AC75" i="52"/>
  <c r="H82" i="52"/>
  <c r="H84" i="52"/>
  <c r="Y88" i="51"/>
  <c r="Y92" i="51" s="1" a="1"/>
  <c r="Y92" i="51" s="1"/>
  <c r="U87" i="51"/>
  <c r="U64" i="51"/>
  <c r="U159" i="51" s="1"/>
  <c r="H87" i="51"/>
  <c r="H90" i="51" s="1"/>
  <c r="BN51" i="52"/>
  <c r="BN113" i="52" s="1"/>
  <c r="BI84" i="52"/>
  <c r="DD16" i="52"/>
  <c r="AB67" i="51"/>
  <c r="AB94" i="51" s="1"/>
  <c r="AB96" i="51"/>
  <c r="AU84" i="52"/>
  <c r="BZ84" i="52"/>
  <c r="V75" i="52"/>
  <c r="V87" i="51"/>
  <c r="V90" i="51" s="1"/>
  <c r="O87" i="51"/>
  <c r="O90" i="51" s="1"/>
  <c r="DA16" i="52"/>
  <c r="K87" i="51"/>
  <c r="K90" i="51" s="1"/>
  <c r="BN75" i="52"/>
  <c r="BN78" i="52" s="1"/>
  <c r="BN80" i="52" s="1" a="1"/>
  <c r="BN80" i="52" s="1"/>
  <c r="L87" i="51"/>
  <c r="L90" i="51" s="1"/>
  <c r="DA7" i="52"/>
  <c r="S87" i="51"/>
  <c r="S90" i="51" s="1"/>
  <c r="S92" i="51" s="1" a="1"/>
  <c r="S92" i="51" s="1"/>
  <c r="G87" i="51"/>
  <c r="G90" i="51" s="1"/>
  <c r="AH20" i="51"/>
  <c r="T87" i="51"/>
  <c r="T90" i="51" s="1"/>
  <c r="CO14" i="52"/>
  <c r="AH35" i="51"/>
  <c r="I87" i="51"/>
  <c r="I90" i="51" s="1"/>
  <c r="CA75" i="52"/>
  <c r="CA78" i="52" s="1"/>
  <c r="Y75" i="52"/>
  <c r="X75" i="52"/>
  <c r="X78" i="52" s="1"/>
  <c r="X80" i="52" s="1" a="1"/>
  <c r="X80" i="52" s="1"/>
  <c r="Q87" i="51"/>
  <c r="Q90" i="51" s="1"/>
  <c r="DD7" i="52"/>
  <c r="BP75" i="52"/>
  <c r="BP78" i="52" s="1"/>
  <c r="BP80" i="52" s="1" a="1"/>
  <c r="BP80" i="52" s="1"/>
  <c r="CR14" i="52"/>
  <c r="CB75" i="52"/>
  <c r="CB78" i="52" s="1"/>
  <c r="F87" i="51"/>
  <c r="N87" i="51"/>
  <c r="N90" i="51" s="1"/>
  <c r="BE55" i="52" l="1"/>
  <c r="AC55" i="52"/>
  <c r="BT116" i="52"/>
  <c r="BM85" i="52"/>
  <c r="BO80" i="52" a="1"/>
  <c r="BO80" i="52" s="1"/>
  <c r="BH84" i="52"/>
  <c r="BM86" i="52" s="1"/>
  <c r="E119" i="5" s="1"/>
  <c r="D94" i="51"/>
  <c r="I153" i="51"/>
  <c r="I88" i="51"/>
  <c r="D96" i="51"/>
  <c r="AV55" i="52"/>
  <c r="AX55" i="52"/>
  <c r="Z55" i="52"/>
  <c r="CX15" i="52"/>
  <c r="DG15" i="52"/>
  <c r="H153" i="51"/>
  <c r="H171" i="51" s="1"/>
  <c r="DD15" i="52"/>
  <c r="Y55" i="52"/>
  <c r="CR17" i="52"/>
  <c r="V55" i="52"/>
  <c r="H116" i="52"/>
  <c r="J64" i="51"/>
  <c r="J159" i="51" s="1"/>
  <c r="J66" i="51"/>
  <c r="J161" i="51" s="1"/>
  <c r="J87" i="51"/>
  <c r="J90" i="51" s="1"/>
  <c r="J92" i="51" s="1" a="1"/>
  <c r="J92" i="51" s="1"/>
  <c r="I68" i="51"/>
  <c r="G159" i="51"/>
  <c r="AY55" i="52"/>
  <c r="X55" i="52"/>
  <c r="AW55" i="52"/>
  <c r="AA55" i="52"/>
  <c r="AJ55" i="52"/>
  <c r="AU57" i="52" s="1"/>
  <c r="CA116" i="52"/>
  <c r="BI55" i="52"/>
  <c r="BQ55" i="52"/>
  <c r="BQ107" i="52"/>
  <c r="BP55" i="52"/>
  <c r="BP107" i="52"/>
  <c r="BS55" i="52"/>
  <c r="BS107" i="52"/>
  <c r="BS116" i="52" s="1"/>
  <c r="W55" i="52"/>
  <c r="R55" i="52"/>
  <c r="H47" i="52"/>
  <c r="H55" i="52" s="1"/>
  <c r="BN55" i="52"/>
  <c r="BR55" i="52"/>
  <c r="BU55" i="52"/>
  <c r="BT55" i="52"/>
  <c r="CA55" i="52"/>
  <c r="BH55" i="52"/>
  <c r="BM57" i="52" s="1"/>
  <c r="G55" i="52"/>
  <c r="G54" i="52"/>
  <c r="BO55" i="52"/>
  <c r="CB55" i="52"/>
  <c r="BR54" i="52"/>
  <c r="BP54" i="52"/>
  <c r="BS54" i="52"/>
  <c r="AV54" i="52"/>
  <c r="AX54" i="52"/>
  <c r="D67" i="51"/>
  <c r="BE54" i="52"/>
  <c r="AY54" i="52"/>
  <c r="BT54" i="52"/>
  <c r="BT117" i="52" s="1"/>
  <c r="J54" i="52"/>
  <c r="AC54" i="52"/>
  <c r="CB54" i="52"/>
  <c r="AJ54" i="52"/>
  <c r="AU56" i="52" s="1"/>
  <c r="AW54" i="52"/>
  <c r="AB54" i="52"/>
  <c r="W54" i="52"/>
  <c r="K54" i="52"/>
  <c r="K117" i="52" s="1"/>
  <c r="AA54" i="52"/>
  <c r="Q54" i="52"/>
  <c r="Q117" i="52" s="1"/>
  <c r="Y171" i="51"/>
  <c r="BU54" i="52"/>
  <c r="BH54" i="52"/>
  <c r="BQ54" i="52"/>
  <c r="R54" i="52"/>
  <c r="R117" i="52" s="1"/>
  <c r="Y54" i="52"/>
  <c r="Z54" i="52"/>
  <c r="BN54" i="52"/>
  <c r="BO54" i="52"/>
  <c r="I54" i="52"/>
  <c r="I117" i="52" s="1"/>
  <c r="X54" i="52"/>
  <c r="BI54" i="52"/>
  <c r="V54" i="52"/>
  <c r="F70" i="51"/>
  <c r="F164" i="51" s="1"/>
  <c r="CA54" i="52"/>
  <c r="CA117" i="52" s="1"/>
  <c r="E87" i="51"/>
  <c r="E90" i="51" s="1"/>
  <c r="M171" i="51"/>
  <c r="K171" i="51"/>
  <c r="I67" i="51"/>
  <c r="I171" i="51"/>
  <c r="Z171" i="51"/>
  <c r="Y87" i="51"/>
  <c r="Y90" i="51" s="1"/>
  <c r="Y49" i="51"/>
  <c r="Y54" i="51" s="1"/>
  <c r="Y68" i="51" s="1"/>
  <c r="Q153" i="51"/>
  <c r="Q70" i="51"/>
  <c r="Q164" i="51" s="1"/>
  <c r="R153" i="51"/>
  <c r="R70" i="51"/>
  <c r="R164" i="51" s="1"/>
  <c r="O153" i="51"/>
  <c r="O70" i="51"/>
  <c r="O164" i="51" s="1"/>
  <c r="L70" i="51"/>
  <c r="L164" i="51" s="1"/>
  <c r="L171" i="51" s="1"/>
  <c r="T153" i="51"/>
  <c r="T70" i="51"/>
  <c r="T164" i="51" s="1"/>
  <c r="V153" i="51"/>
  <c r="V70" i="51"/>
  <c r="V164" i="51" s="1"/>
  <c r="W153" i="51"/>
  <c r="W70" i="51"/>
  <c r="W164" i="51" s="1"/>
  <c r="U153" i="51"/>
  <c r="U70" i="51"/>
  <c r="U164" i="51" s="1"/>
  <c r="S153" i="51"/>
  <c r="S70" i="51"/>
  <c r="S164" i="51" s="1"/>
  <c r="G70" i="51"/>
  <c r="G164" i="51" s="1"/>
  <c r="AA70" i="51"/>
  <c r="AA164" i="51" s="1"/>
  <c r="AA171" i="51" s="1"/>
  <c r="P153" i="51"/>
  <c r="P70" i="51"/>
  <c r="P164" i="51" s="1"/>
  <c r="N70" i="51"/>
  <c r="N164" i="51" s="1"/>
  <c r="N171" i="51" s="1"/>
  <c r="X153" i="51"/>
  <c r="X70" i="51"/>
  <c r="X164" i="51" s="1"/>
  <c r="BR116" i="52"/>
  <c r="G49" i="51"/>
  <c r="G54" i="51" s="1"/>
  <c r="CX20" i="52"/>
  <c r="E52" i="51"/>
  <c r="E70" i="51" s="1"/>
  <c r="E164" i="51" s="1"/>
  <c r="E49" i="51"/>
  <c r="C66" i="51"/>
  <c r="C161" i="51" s="1"/>
  <c r="C52" i="51"/>
  <c r="C49" i="51"/>
  <c r="Z49" i="51"/>
  <c r="Z54" i="51" s="1"/>
  <c r="Z68" i="51" s="1"/>
  <c r="R88" i="51"/>
  <c r="R92" i="51" s="1" a="1"/>
  <c r="R92" i="51" s="1"/>
  <c r="BU116" i="52"/>
  <c r="AA88" i="51"/>
  <c r="U88" i="51"/>
  <c r="BI116" i="52"/>
  <c r="BE116" i="52"/>
  <c r="AA54" i="51"/>
  <c r="AA68" i="51" s="1"/>
  <c r="Z116" i="52"/>
  <c r="CO24" i="52"/>
  <c r="BH116" i="52"/>
  <c r="W113" i="52"/>
  <c r="W116" i="52" s="1"/>
  <c r="I82" i="51"/>
  <c r="BO113" i="52"/>
  <c r="DA19" i="52" s="1"/>
  <c r="BQ116" i="52"/>
  <c r="AA78" i="52"/>
  <c r="AA80" i="52" s="1" a="1"/>
  <c r="AA80" i="52" s="1"/>
  <c r="X82" i="52"/>
  <c r="X84" i="52"/>
  <c r="Z84" i="52"/>
  <c r="Z82" i="52"/>
  <c r="BN116" i="52"/>
  <c r="Y78" i="52"/>
  <c r="Y80" i="52" s="1" a="1"/>
  <c r="Y80" i="52" s="1"/>
  <c r="O88" i="51"/>
  <c r="N88" i="51"/>
  <c r="AC116" i="52"/>
  <c r="AV116" i="52"/>
  <c r="DA20" i="52"/>
  <c r="AD106" i="51"/>
  <c r="E107" i="51"/>
  <c r="AD105" i="51"/>
  <c r="H107" i="51"/>
  <c r="AY116" i="52"/>
  <c r="G107" i="51"/>
  <c r="AX116" i="52"/>
  <c r="DG16" i="52"/>
  <c r="M88" i="51"/>
  <c r="S54" i="51"/>
  <c r="H88" i="51"/>
  <c r="H92" i="51" s="1" a="1"/>
  <c r="H92" i="51" s="1"/>
  <c r="V54" i="51"/>
  <c r="V68" i="51" s="1"/>
  <c r="U54" i="51"/>
  <c r="BG82" i="52"/>
  <c r="BG117" i="52"/>
  <c r="AW116" i="52"/>
  <c r="DG19" i="52"/>
  <c r="P54" i="51"/>
  <c r="O54" i="51"/>
  <c r="O68" i="51" s="1"/>
  <c r="DG20" i="52"/>
  <c r="BN69" i="52"/>
  <c r="N54" i="51"/>
  <c r="N68" i="51" s="1"/>
  <c r="BF117" i="52"/>
  <c r="BF82" i="52"/>
  <c r="DD21" i="52"/>
  <c r="DD19" i="52"/>
  <c r="DD20" i="52"/>
  <c r="AA84" i="52"/>
  <c r="D88" i="51"/>
  <c r="D92" i="51" s="1" a="1"/>
  <c r="D92" i="51" s="1"/>
  <c r="D153" i="51"/>
  <c r="D171" i="51" s="1"/>
  <c r="S88" i="51"/>
  <c r="L54" i="51"/>
  <c r="K54" i="51"/>
  <c r="K68" i="51" s="1"/>
  <c r="M54" i="51"/>
  <c r="M68" i="51" s="1"/>
  <c r="T54" i="51"/>
  <c r="H54" i="51"/>
  <c r="H68" i="51" s="1"/>
  <c r="Q54" i="51"/>
  <c r="W54" i="51"/>
  <c r="W68" i="51" s="1"/>
  <c r="R54" i="51"/>
  <c r="R68" i="51" s="1"/>
  <c r="X54" i="51"/>
  <c r="Q88" i="51"/>
  <c r="W88" i="51"/>
  <c r="W92" i="51" s="1" a="1"/>
  <c r="W92" i="51" s="1"/>
  <c r="T88" i="51"/>
  <c r="K88" i="51"/>
  <c r="K92" i="51" s="1" a="1"/>
  <c r="K92" i="51" s="1"/>
  <c r="V88" i="51"/>
  <c r="AC94" i="51"/>
  <c r="AC173" i="51"/>
  <c r="P88" i="51"/>
  <c r="L88" i="51"/>
  <c r="L92" i="51" s="1" a="1"/>
  <c r="L92" i="51" s="1"/>
  <c r="CB116" i="52"/>
  <c r="D117" i="52"/>
  <c r="Y116" i="52"/>
  <c r="J116" i="52"/>
  <c r="J84" i="52"/>
  <c r="Q92" i="51" a="1"/>
  <c r="Q92" i="51" s="1"/>
  <c r="I92" i="51" a="1"/>
  <c r="I92" i="51" s="1"/>
  <c r="O92" i="51" a="1"/>
  <c r="O92" i="51" s="1"/>
  <c r="P92" i="51" a="1"/>
  <c r="P92" i="51" s="1"/>
  <c r="E66" i="51"/>
  <c r="E161" i="51" s="1"/>
  <c r="X116" i="52"/>
  <c r="AB82" i="52"/>
  <c r="AB84" i="52"/>
  <c r="AJ116" i="52"/>
  <c r="Q96" i="51"/>
  <c r="Q94" i="51"/>
  <c r="I94" i="51"/>
  <c r="I96" i="51"/>
  <c r="U94" i="51"/>
  <c r="U96" i="51"/>
  <c r="M96" i="51"/>
  <c r="M94" i="51"/>
  <c r="W96" i="51"/>
  <c r="W94" i="51"/>
  <c r="Y96" i="51"/>
  <c r="Y94" i="51"/>
  <c r="CR28" i="52"/>
  <c r="N96" i="51"/>
  <c r="N94" i="51"/>
  <c r="G66" i="51"/>
  <c r="G161" i="51" s="1"/>
  <c r="J96" i="51"/>
  <c r="J94" i="51"/>
  <c r="R94" i="51"/>
  <c r="R96" i="51"/>
  <c r="O94" i="51"/>
  <c r="O96" i="51"/>
  <c r="X96" i="51"/>
  <c r="X94" i="51"/>
  <c r="F66" i="51"/>
  <c r="F161" i="51" s="1"/>
  <c r="L94" i="51"/>
  <c r="AJ84" i="52"/>
  <c r="S96" i="51"/>
  <c r="S94" i="51"/>
  <c r="V94" i="51"/>
  <c r="V96" i="51"/>
  <c r="P96" i="51"/>
  <c r="P94" i="51"/>
  <c r="AJ82" i="52"/>
  <c r="T92" i="51" a="1"/>
  <c r="T92" i="51" s="1"/>
  <c r="J82" i="52"/>
  <c r="V92" i="51" a="1"/>
  <c r="V92" i="51" s="1"/>
  <c r="N92" i="51" a="1"/>
  <c r="N92" i="51" s="1"/>
  <c r="AJ80" i="52" a="1"/>
  <c r="AJ80" i="52" s="1"/>
  <c r="BU82" i="52"/>
  <c r="BU84" i="52"/>
  <c r="M92" i="51" a="1"/>
  <c r="M92" i="51" s="1"/>
  <c r="BO82" i="52"/>
  <c r="BO84" i="52"/>
  <c r="BS84" i="52"/>
  <c r="BS82" i="52"/>
  <c r="BQ82" i="52"/>
  <c r="BQ84" i="52"/>
  <c r="AB113" i="52"/>
  <c r="AB116" i="52" s="1"/>
  <c r="AB80" i="52" a="1"/>
  <c r="AB80" i="52" s="1"/>
  <c r="V116" i="52"/>
  <c r="AA113" i="52"/>
  <c r="AA116" i="52" s="1"/>
  <c r="CG117" i="52"/>
  <c r="AH82" i="52"/>
  <c r="AC78" i="52"/>
  <c r="AC80" i="52" s="1" a="1"/>
  <c r="AC80" i="52" s="1"/>
  <c r="AC84" i="52"/>
  <c r="AC82" i="52"/>
  <c r="BR78" i="52"/>
  <c r="BR80" i="52" s="1" a="1"/>
  <c r="BR80" i="52" s="1"/>
  <c r="G82" i="52"/>
  <c r="G84" i="52"/>
  <c r="BP82" i="52"/>
  <c r="BP84" i="52"/>
  <c r="Y82" i="52"/>
  <c r="Y84" i="52"/>
  <c r="G116" i="52"/>
  <c r="BR84" i="52"/>
  <c r="BR82" i="52"/>
  <c r="G78" i="52"/>
  <c r="Z78" i="52"/>
  <c r="Z80" i="52" s="1" a="1"/>
  <c r="Z80" i="52" s="1"/>
  <c r="V82" i="52"/>
  <c r="V84" i="52"/>
  <c r="AB173" i="51"/>
  <c r="U90" i="51"/>
  <c r="BN82" i="52"/>
  <c r="BN84" i="52"/>
  <c r="BM117" i="52"/>
  <c r="BP116" i="52"/>
  <c r="BP69" i="52"/>
  <c r="T117" i="52"/>
  <c r="U82" i="52"/>
  <c r="CO29" i="52" s="1"/>
  <c r="G88" i="51"/>
  <c r="G92" i="51" s="1" a="1"/>
  <c r="G92" i="51" s="1"/>
  <c r="F90" i="51"/>
  <c r="BY117" i="52"/>
  <c r="CF117" i="52"/>
  <c r="V78" i="52"/>
  <c r="V80" i="52" s="1" a="1"/>
  <c r="V80" i="52" s="1"/>
  <c r="AT82" i="52"/>
  <c r="AT117" i="52"/>
  <c r="AU117" i="52"/>
  <c r="AU82" i="52"/>
  <c r="BL117" i="52"/>
  <c r="BL82" i="52"/>
  <c r="CX21" i="52" s="1"/>
  <c r="AI82" i="52"/>
  <c r="AI117" i="52"/>
  <c r="BZ117" i="52"/>
  <c r="BZ82" i="52"/>
  <c r="DA21" i="52" s="1"/>
  <c r="S68" i="51" l="1"/>
  <c r="H54" i="52"/>
  <c r="H117" i="52" s="1"/>
  <c r="T68" i="51"/>
  <c r="L68" i="51"/>
  <c r="DA15" i="52"/>
  <c r="X68" i="51"/>
  <c r="AF159" i="51"/>
  <c r="J67" i="51"/>
  <c r="J154" i="51" s="1"/>
  <c r="AF154" i="51" s="1"/>
  <c r="P68" i="51"/>
  <c r="Q68" i="51"/>
  <c r="U68" i="51"/>
  <c r="Q171" i="51"/>
  <c r="J171" i="51"/>
  <c r="AH39" i="51"/>
  <c r="J68" i="51"/>
  <c r="G68" i="51"/>
  <c r="G171" i="51"/>
  <c r="BH117" i="52"/>
  <c r="AA67" i="51"/>
  <c r="AA173" i="51" s="1"/>
  <c r="U67" i="51"/>
  <c r="S171" i="51"/>
  <c r="S67" i="51"/>
  <c r="U171" i="51"/>
  <c r="BR117" i="52"/>
  <c r="R171" i="51"/>
  <c r="V171" i="51"/>
  <c r="X171" i="51"/>
  <c r="BI117" i="52"/>
  <c r="T67" i="51"/>
  <c r="R67" i="51"/>
  <c r="W67" i="51"/>
  <c r="T171" i="51"/>
  <c r="Y67" i="51"/>
  <c r="Y173" i="51" s="1"/>
  <c r="Q67" i="51"/>
  <c r="N67" i="51"/>
  <c r="N173" i="51" s="1"/>
  <c r="H67" i="51"/>
  <c r="H173" i="51" s="1"/>
  <c r="V67" i="51"/>
  <c r="P171" i="51"/>
  <c r="W171" i="51"/>
  <c r="W173" i="51" s="1"/>
  <c r="O171" i="51"/>
  <c r="G67" i="51"/>
  <c r="M67" i="51"/>
  <c r="M173" i="51" s="1"/>
  <c r="O67" i="51"/>
  <c r="K67" i="51"/>
  <c r="K173" i="51" s="1"/>
  <c r="P67" i="51"/>
  <c r="X67" i="51"/>
  <c r="L67" i="51"/>
  <c r="L173" i="51" s="1"/>
  <c r="Z67" i="51"/>
  <c r="Z173" i="51" s="1"/>
  <c r="C153" i="51"/>
  <c r="C70" i="51"/>
  <c r="C164" i="51" s="1"/>
  <c r="AH37" i="51" s="1"/>
  <c r="C54" i="51"/>
  <c r="C88" i="51"/>
  <c r="C92" i="51" s="1" a="1"/>
  <c r="C92" i="51" s="1"/>
  <c r="G61" i="5"/>
  <c r="BS117" i="52"/>
  <c r="Z117" i="52"/>
  <c r="BE117" i="52"/>
  <c r="BM56" i="52"/>
  <c r="F61" i="5" s="1"/>
  <c r="H61" i="5" s="1"/>
  <c r="W117" i="52"/>
  <c r="AY117" i="52"/>
  <c r="BO116" i="52"/>
  <c r="BO117" i="52" s="1"/>
  <c r="DG21" i="52"/>
  <c r="DG24" i="52" s="1"/>
  <c r="K96" i="51"/>
  <c r="H94" i="51"/>
  <c r="G94" i="51"/>
  <c r="H96" i="51"/>
  <c r="L96" i="51"/>
  <c r="AX117" i="52"/>
  <c r="AC117" i="52"/>
  <c r="K94" i="51"/>
  <c r="AD107" i="51"/>
  <c r="F64" i="32" s="1"/>
  <c r="E153" i="51"/>
  <c r="AG157" i="51" s="1"/>
  <c r="E54" i="51"/>
  <c r="E68" i="51" s="1"/>
  <c r="F54" i="51"/>
  <c r="F68" i="51" s="1"/>
  <c r="F153" i="51"/>
  <c r="F171" i="51" s="1"/>
  <c r="AW117" i="52"/>
  <c r="BG57" i="52"/>
  <c r="BG56" i="52"/>
  <c r="AV117" i="52"/>
  <c r="J117" i="52"/>
  <c r="CB117" i="52"/>
  <c r="D173" i="51"/>
  <c r="F88" i="51"/>
  <c r="F92" i="51" s="1" a="1"/>
  <c r="F92" i="51" s="1"/>
  <c r="CR29" i="52"/>
  <c r="Y117" i="52"/>
  <c r="E88" i="51"/>
  <c r="E92" i="51" s="1" a="1"/>
  <c r="E92" i="51" s="1"/>
  <c r="CU21" i="52"/>
  <c r="AH40" i="51"/>
  <c r="BO69" i="52"/>
  <c r="AJ117" i="52"/>
  <c r="AB117" i="52"/>
  <c r="AI86" i="52"/>
  <c r="E120" i="5" s="1"/>
  <c r="AU86" i="52"/>
  <c r="AI85" i="52"/>
  <c r="CR30" i="52" s="1"/>
  <c r="BZ86" i="52"/>
  <c r="E117" i="5" s="1"/>
  <c r="BZ85" i="52"/>
  <c r="AU85" i="52"/>
  <c r="F35" i="5" s="1"/>
  <c r="G96" i="51"/>
  <c r="I173" i="51"/>
  <c r="V117" i="52"/>
  <c r="G46" i="5"/>
  <c r="AI57" i="52"/>
  <c r="BU117" i="52"/>
  <c r="BU69" i="52"/>
  <c r="AA117" i="52"/>
  <c r="BQ117" i="52"/>
  <c r="BQ69" i="52"/>
  <c r="CR27" i="52"/>
  <c r="G117" i="52"/>
  <c r="BP117" i="52"/>
  <c r="BZ57" i="52"/>
  <c r="BN117" i="52"/>
  <c r="BZ56" i="52"/>
  <c r="DD22" i="52"/>
  <c r="DD24" i="52" s="1"/>
  <c r="D118" i="5"/>
  <c r="CG57" i="52"/>
  <c r="CX22" i="52"/>
  <c r="D119" i="5"/>
  <c r="CG56" i="52"/>
  <c r="X117" i="52"/>
  <c r="AI56" i="52"/>
  <c r="V173" i="51" l="1"/>
  <c r="Q173" i="51"/>
  <c r="C171" i="51"/>
  <c r="R173" i="51"/>
  <c r="U173" i="51"/>
  <c r="J173" i="51"/>
  <c r="C94" i="51"/>
  <c r="C96" i="51"/>
  <c r="T173" i="51"/>
  <c r="O173" i="51"/>
  <c r="S173" i="51"/>
  <c r="C68" i="51"/>
  <c r="F67" i="51"/>
  <c r="C67" i="51"/>
  <c r="C173" i="51" s="1"/>
  <c r="X173" i="51"/>
  <c r="P173" i="51"/>
  <c r="E171" i="51"/>
  <c r="E67" i="51"/>
  <c r="CX24" i="52"/>
  <c r="CX25" i="52" s="1"/>
  <c r="AD83" i="51"/>
  <c r="G32" i="5" s="1"/>
  <c r="E82" i="51"/>
  <c r="F124" i="32"/>
  <c r="G63" i="5" s="1"/>
  <c r="G65" i="5" s="1"/>
  <c r="F71" i="32"/>
  <c r="E96" i="51"/>
  <c r="E94" i="51"/>
  <c r="AF92" i="51"/>
  <c r="F96" i="51"/>
  <c r="F94" i="51"/>
  <c r="AD54" i="51"/>
  <c r="M32" i="63"/>
  <c r="M46" i="63" s="1"/>
  <c r="M47" i="63" s="1"/>
  <c r="E121" i="5"/>
  <c r="DG25" i="52"/>
  <c r="F55" i="5"/>
  <c r="DD25" i="52"/>
  <c r="AF153" i="51"/>
  <c r="AF171" i="51" s="1"/>
  <c r="AF173" i="51" s="1"/>
  <c r="AH31" i="51"/>
  <c r="CR31" i="52"/>
  <c r="CR32" i="52" s="1"/>
  <c r="F77" i="36"/>
  <c r="F80" i="36" s="1"/>
  <c r="F45" i="5"/>
  <c r="H45" i="5" s="1"/>
  <c r="G35" i="5"/>
  <c r="G45" i="5"/>
  <c r="G53" i="5" s="1"/>
  <c r="E77" i="36"/>
  <c r="E80" i="36" s="1"/>
  <c r="F153" i="36" s="1"/>
  <c r="G55" i="5"/>
  <c r="G59" i="5" s="1"/>
  <c r="F20" i="2" s="1"/>
  <c r="G37" i="5"/>
  <c r="J32" i="63"/>
  <c r="J46" i="63" s="1"/>
  <c r="F42" i="5" s="1"/>
  <c r="H42" i="5" s="1"/>
  <c r="F37" i="5"/>
  <c r="H37" i="5" s="1"/>
  <c r="BZ71" i="52"/>
  <c r="F46" i="5" s="1"/>
  <c r="H46" i="5" s="1"/>
  <c r="H35" i="5"/>
  <c r="D121" i="5"/>
  <c r="G173" i="51"/>
  <c r="G82" i="51"/>
  <c r="CU22" i="52"/>
  <c r="D120" i="5"/>
  <c r="E22" i="2"/>
  <c r="E24" i="2" s="1"/>
  <c r="F65" i="5"/>
  <c r="DA22" i="52"/>
  <c r="D117" i="5"/>
  <c r="F22" i="2"/>
  <c r="F24" i="2" s="1"/>
  <c r="AD171" i="51" l="1"/>
  <c r="F173" i="51"/>
  <c r="F82" i="51"/>
  <c r="AD82" i="51" s="1"/>
  <c r="F32" i="5" s="1"/>
  <c r="H32" i="5" s="1"/>
  <c r="DA24" i="52"/>
  <c r="DA25" i="52" s="1"/>
  <c r="CU24" i="52"/>
  <c r="CU25" i="52" s="1"/>
  <c r="AF95" i="51"/>
  <c r="AD68" i="51"/>
  <c r="AF93" i="51"/>
  <c r="E173" i="51"/>
  <c r="AD67" i="51"/>
  <c r="E172" i="36"/>
  <c r="E173" i="36" s="1"/>
  <c r="J47" i="63"/>
  <c r="F16" i="2"/>
  <c r="F18" i="2" s="1"/>
  <c r="G42" i="5"/>
  <c r="F23" i="2"/>
  <c r="F59" i="5"/>
  <c r="H55" i="5"/>
  <c r="E23" i="2"/>
  <c r="H65" i="5"/>
  <c r="F53" i="5"/>
  <c r="H53" i="5" s="1"/>
  <c r="E16" i="2"/>
  <c r="E18" i="2" s="1"/>
  <c r="AF96" i="51" l="1"/>
  <c r="E115" i="5" s="1"/>
  <c r="AF94" i="51"/>
  <c r="D115" i="5" s="1"/>
  <c r="AD173" i="51"/>
  <c r="F17" i="2"/>
  <c r="E20" i="2"/>
  <c r="H59" i="5"/>
  <c r="E17" i="2"/>
  <c r="G31" i="5" l="1"/>
  <c r="AH43" i="51"/>
  <c r="AH44" i="51" s="1"/>
  <c r="AH45" i="51" s="1"/>
  <c r="F31" i="5"/>
  <c r="H31" i="5" s="1"/>
  <c r="G77" i="5" l="1"/>
  <c r="G78" i="5" l="1"/>
  <c r="F28" i="2"/>
  <c r="F29" i="2" s="1"/>
  <c r="E53" i="52" l="1"/>
  <c r="E114" i="52" s="1"/>
  <c r="E44" i="52"/>
  <c r="E47" i="52" s="1"/>
  <c r="E51" i="52"/>
  <c r="E113" i="52" s="1"/>
  <c r="E59" i="52"/>
  <c r="E107" i="52" s="1"/>
  <c r="E75" i="52"/>
  <c r="E78" i="52" l="1"/>
  <c r="E80" i="52" a="1"/>
  <c r="E80" i="52" s="1"/>
  <c r="E84" i="52"/>
  <c r="E82" i="52"/>
  <c r="E116" i="52"/>
  <c r="E54" i="52"/>
  <c r="E55" i="52" s="1"/>
  <c r="F44" i="52"/>
  <c r="F53" i="52"/>
  <c r="F114" i="52" s="1"/>
  <c r="CO28" i="52" s="1"/>
  <c r="F51" i="52"/>
  <c r="F113" i="52" s="1"/>
  <c r="CO27" i="52" s="1"/>
  <c r="F59" i="52"/>
  <c r="F75" i="52"/>
  <c r="F78" i="52" l="1"/>
  <c r="F80" i="52" a="1"/>
  <c r="F80" i="52" s="1"/>
  <c r="F107" i="52"/>
  <c r="F47" i="52"/>
  <c r="E117" i="52"/>
  <c r="CH47" i="52" l="1"/>
  <c r="F84" i="52"/>
  <c r="F82" i="52"/>
  <c r="U85" i="52" s="1"/>
  <c r="F116" i="52"/>
  <c r="CO17" i="52"/>
  <c r="F54" i="52"/>
  <c r="U86" i="52" l="1"/>
  <c r="E116" i="5" s="1"/>
  <c r="E122" i="5" s="1"/>
  <c r="F117" i="52"/>
  <c r="D116" i="5"/>
  <c r="D122" i="5" s="1"/>
  <c r="CO30" i="52"/>
  <c r="CO31" i="52" s="1"/>
  <c r="F55" i="52"/>
  <c r="U57" i="52" s="1"/>
  <c r="G33" i="5" s="1"/>
  <c r="G43" i="5" s="1"/>
  <c r="U56" i="52"/>
  <c r="CO32" i="52" l="1"/>
  <c r="F33" i="5"/>
  <c r="F12" i="2"/>
  <c r="F15" i="2" s="1"/>
  <c r="G66" i="5"/>
  <c r="E6" i="3" l="1"/>
  <c r="G67" i="5"/>
  <c r="F25" i="2"/>
  <c r="H33" i="5"/>
  <c r="F43" i="5"/>
  <c r="H43" i="5" l="1"/>
  <c r="H66" i="5" s="1"/>
  <c r="E12" i="2"/>
  <c r="E15" i="2" s="1"/>
  <c r="F66" i="5"/>
  <c r="E7" i="3"/>
  <c r="G79" i="5"/>
  <c r="G83" i="5" s="1"/>
  <c r="E113" i="5" s="1"/>
  <c r="E133" i="5" s="1"/>
  <c r="G84" i="5" s="1"/>
  <c r="F26" i="2"/>
  <c r="F30" i="2" s="1"/>
  <c r="F34" i="2" s="1"/>
  <c r="F67" i="5" l="1"/>
  <c r="E25" i="2"/>
  <c r="D6" i="3"/>
  <c r="D7" i="3" l="1"/>
  <c r="E26" i="2"/>
  <c r="E30" i="2" s="1"/>
  <c r="E34" i="2" s="1"/>
  <c r="F79" i="5"/>
  <c r="H67" i="5"/>
  <c r="F83" i="5" l="1"/>
  <c r="H79" i="5"/>
  <c r="H83" i="5" l="1"/>
  <c r="D113" i="5"/>
  <c r="D133" i="5" l="1"/>
  <c r="F84" i="5" s="1"/>
  <c r="F102" i="5" s="1"/>
  <c r="H102" i="5" s="1"/>
  <c r="H109" i="5" s="1"/>
  <c r="D8" i="3" l="1"/>
  <c r="F105" i="5"/>
  <c r="E55" i="2" s="1"/>
  <c r="F108" i="5"/>
  <c r="H108" i="5" s="1"/>
  <c r="G102" i="5"/>
  <c r="G108" i="5" s="1"/>
  <c r="F109" i="5"/>
  <c r="E53" i="2"/>
  <c r="H105" i="5"/>
  <c r="F99" i="5" l="1"/>
  <c r="E50" i="2" s="1"/>
  <c r="G109" i="5"/>
  <c r="F53" i="2"/>
  <c r="E8" i="3"/>
  <c r="G105" i="5"/>
  <c r="G99" i="5" s="1"/>
  <c r="H99" i="5"/>
  <c r="F106" i="5" l="1"/>
  <c r="E56" i="2" s="1"/>
  <c r="F55" i="2"/>
  <c r="G106" i="5"/>
  <c r="F56" i="2" s="1"/>
  <c r="F50" i="2"/>
  <c r="H10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tc={BE3AF0E5-2F6A-C944-BFC4-89EE673A2615}</author>
    <author>Tove Dohn</author>
    <author>tc={5B3B0BD1-7452-0042-827E-F576144014A8}</author>
  </authors>
  <commentList>
    <comment ref="D4" authorId="0" shapeId="0" xr:uid="{00000000-0006-0000-0700-000001000000}">
      <text>
        <t>[Trådet kommentar]
Din version af Excel lader dig læse denne trådede kommentar. Eventuelle ændringer vil dog blive fjernet, hvis filen åbnes i en nyere version af Excel. Få mere at vide: https://go.microsoft.com/fwlink/?linkid=870924
Kommentar:
    Tove Dohn: 
Elevtal under 350 = 353.412,- i årligt grundbeløb. 
Elevtal på eller over 350 = 396.929,- i årligt  grundbeløb. 
Hertil  kan der være et udligningstillæg beregnet i 2019 samt lokale tillæg.</t>
      </text>
    </comment>
    <comment ref="C86" authorId="1" shapeId="0" xr:uid="{00000000-0006-0000-0700-000002000000}">
      <text>
        <r>
          <rPr>
            <b/>
            <sz val="10"/>
            <color rgb="FF000000"/>
            <rFont val="Tahoma"/>
            <family val="2"/>
          </rPr>
          <t>Tove Dohn:</t>
        </r>
        <r>
          <rPr>
            <sz val="10"/>
            <color rgb="FF000000"/>
            <rFont val="Tahoma"/>
            <family val="2"/>
          </rPr>
          <t xml:space="preserve">
</t>
        </r>
        <r>
          <rPr>
            <sz val="10"/>
            <color rgb="FF000000"/>
            <rFont val="Tahoma"/>
            <family val="2"/>
          </rPr>
          <t>Tast her skolens udgift på feriepengeforpligtigelsen. Hvis fleksjobber på gl. ordning er skolens udgift typist 17%. Hvis fleksjobber på ny ordning er skolens udgift 50%</t>
        </r>
      </text>
    </comment>
    <comment ref="B87" authorId="2" shapeId="0" xr:uid="{00000000-0006-0000-0700-000003000000}">
      <text>
        <t xml:space="preserve">[Trådet kommentar]
Din version af Excel lader dig læse denne trådede kommentar. Eventuelle ændringer vil dog blive fjernet, hvis filen åbnes i en nyere version af Excel. Få mere at vide: https://go.microsoft.com/fwlink/?linkid=870924
Kommentar:
    Hvis en ansat har mere end 1 kolonne pga. feks. lønændring, barsel eller fratrædelse skal kun oplyse skyldige feriedage i en af kolonnerne.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tc={C6A80ED0-6B1D-4048-917F-FBA122BEA6A8}</author>
  </authors>
  <commentList>
    <comment ref="A15" authorId="0" shapeId="0" xr:uid="{502F9868-8601-244B-BC35-0E6B2C9EF212}">
      <text>
        <r>
          <rPr>
            <b/>
            <sz val="10"/>
            <color rgb="FF000000"/>
            <rFont val="Tahoma"/>
            <family val="2"/>
          </rPr>
          <t>Tove Dohn:</t>
        </r>
        <r>
          <rPr>
            <sz val="10"/>
            <color rgb="FF000000"/>
            <rFont val="Tahoma"/>
            <family val="2"/>
          </rPr>
          <t xml:space="preserve">
</t>
        </r>
        <r>
          <rPr>
            <sz val="10"/>
            <color rgb="FF000000"/>
            <rFont val="Tahoma"/>
            <family val="2"/>
          </rPr>
          <t xml:space="preserve">St. bededagstillæg på 0,45% af de fastpåregnelige løndele gives til de ansatte der pga. afskafflee af Storebededag som en helligdag får forhøjet deres årsnorm/arbejdstid. Ansatte med fast årsnorm får ikke forhøjet deres årsnorm og skal derfor ikke have St. Bededagstillæg.
</t>
        </r>
      </text>
    </comment>
    <comment ref="C74" authorId="0" shapeId="0" xr:uid="{00000000-0006-0000-0800-000001000000}">
      <text>
        <r>
          <rPr>
            <b/>
            <sz val="10"/>
            <color rgb="FF000000"/>
            <rFont val="Tahoma"/>
            <family val="2"/>
          </rPr>
          <t>Tove Dohn:</t>
        </r>
        <r>
          <rPr>
            <sz val="10"/>
            <color rgb="FF000000"/>
            <rFont val="Tahoma"/>
            <family val="2"/>
          </rPr>
          <t xml:space="preserve">
</t>
        </r>
        <r>
          <rPr>
            <sz val="10"/>
            <color rgb="FF000000"/>
            <rFont val="Tahoma"/>
            <family val="2"/>
          </rPr>
          <t>Tast her skolens udgift på feriepengeforpligtigelsen. Hvis fleksjobber på gl. ordning er skolens udgift typist 17%. Hvis fleksjobber på ny ordning er skolens udgift 50%</t>
        </r>
      </text>
    </comment>
    <comment ref="B75" authorId="1" shapeId="0" xr:uid="{00000000-0006-0000-0800-000002000000}">
      <text>
        <t xml:space="preserve">[Trådet kommentar]
Din version af Excel lader dig læse denne trådede kommentar. Eventuelle ændringer vil dog blive fjernet, hvis filen åbnes i en nyere version af Excel. Få mere at vide: https://go.microsoft.com/fwlink/?linkid=870924
Kommentar:
    Hvis en ansat har mere end 1 kolonne pga. feks. lønændring, barsel eller fratrædelse skal kun oplyse skyldige feriedage i en af kolonnerne.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tc={CE2744AF-F4E2-D446-97F9-4F7599637F9D}</author>
    <author>tc={181D65AC-B732-3642-B9B1-7EBE4E540F62}</author>
    <author>tc={B02B7958-3E4A-7841-8A55-DE33D8167A1E}</author>
    <author>tc={380510AB-B41A-614F-A30F-597F22F22FDE}</author>
  </authors>
  <commentList>
    <comment ref="E3" authorId="0" shapeId="0" xr:uid="{00000000-0006-0000-0B00-000001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forældrebetalte rater i dette budgetår kan være lavere end i et helt almindeligt finansår.
Er daginstitutionen kørende og altså ikke nyopstartet skrives samme antal mdr. i begge celler.</t>
      </text>
    </comment>
    <comment ref="T3" authorId="1" shapeId="0" xr:uid="{00000000-0006-0000-0B00-000002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kommunal betalte rater i dette budgetår kan være lavere end i et helt almindeligt finansår.
Er daginstitutionen kørende og altså ikke nyopstartet skrives samme antal mdr. i begge celler.</t>
      </text>
    </comment>
    <comment ref="E39" authorId="2" shapeId="0" xr:uid="{00000000-0006-0000-0B00-000003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forældrebetalte rater i dette budgetår kan være lavere end i et helt almindeligt finansår.
Er daginstitutionen kørende og altså ikke nyopstartet skrives samme antal mdr. i begge celler.</t>
      </text>
    </comment>
    <comment ref="T39" authorId="3" shapeId="0" xr:uid="{00000000-0006-0000-0B00-000004000000}">
      <text>
        <t>[Trådet kommentar]
Din version af Excel lader dig læse denne trådede kommentar. Eventuelle ændringer vil dog blive fjernet, hvis filen åbnes i en nyere version af Excel. Få mere at vide: https://go.microsoft.com/fwlink/?linkid=870924
Kommentar:
    Bruges særligt i forbindelse med opstart af daginstitution, hvor antallet af kommunal betalte rater i dette budgetår kan være lavere end i et helt almindeligt finansår.
Er daginstitutionen kørende og altså ikke nyopstartet skrives samme antal mdr. i begge celler.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xport file" type="6" refreshedVersion="0" background="1" saveData="1">
    <textPr sourceFile="Macintosh HD:Users:olemikke:Desktop:SLET:Export file" decimal="," thousands=".">
      <textFields count="3">
        <textField/>
        <textField/>
        <textField/>
      </textFields>
    </textPr>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<sst xmlns="http://schemas.openxmlformats.org/spreadsheetml/2006/main" count="3548" uniqueCount="1500">
  <si>
    <t>Konsulent</t>
    <phoneticPr fontId="55" type="noConversion"/>
  </si>
  <si>
    <t>1/3 af 17%</t>
  </si>
  <si>
    <t>2/3 af 17%</t>
  </si>
  <si>
    <t>Egetbidrag</t>
  </si>
  <si>
    <t>Afskrivning skolepenge</t>
    <phoneticPr fontId="55" type="noConversion"/>
  </si>
  <si>
    <t>Andre indtægter - madordning</t>
    <phoneticPr fontId="55" type="noConversion"/>
  </si>
  <si>
    <t>Madordning</t>
    <phoneticPr fontId="55" type="noConversion"/>
  </si>
  <si>
    <t>Pengestrømsopgørelse</t>
  </si>
  <si>
    <t>9. kl.</t>
  </si>
  <si>
    <t>10. kl.</t>
  </si>
  <si>
    <t>Samlet elevtal</t>
  </si>
  <si>
    <t>Bhkl. - 3. kl.</t>
  </si>
  <si>
    <t xml:space="preserve"> </t>
  </si>
  <si>
    <t>Engelsk</t>
  </si>
  <si>
    <t>Under 13 år</t>
  </si>
  <si>
    <t>Årets resultat</t>
  </si>
  <si>
    <t>Ændring i feriepengeforpligtigelse SFO</t>
  </si>
  <si>
    <t>ELEVPROGNOSE</t>
  </si>
  <si>
    <t>Andet- Mad Vuggestue</t>
    <phoneticPr fontId="55" type="noConversion"/>
  </si>
  <si>
    <t>8. kl.</t>
  </si>
  <si>
    <t xml:space="preserve">Løn </t>
  </si>
  <si>
    <t>Afskrivninger i alt</t>
  </si>
  <si>
    <t>Afdrag på lån</t>
  </si>
  <si>
    <t>Årets Pengestrøm:</t>
  </si>
  <si>
    <t>Inventar</t>
  </si>
  <si>
    <t>Andre konsulenter</t>
  </si>
  <si>
    <t>10. klasse 5/9</t>
  </si>
  <si>
    <t>10. klasse 5/2</t>
  </si>
  <si>
    <t>Personaleudgifter</t>
  </si>
  <si>
    <t>Arb.g.bidrag</t>
  </si>
  <si>
    <t>Indtægter vedr. Foredrag / arrangementer</t>
    <phoneticPr fontId="55" type="noConversion"/>
  </si>
  <si>
    <t>Morarenter m.v.</t>
  </si>
  <si>
    <t>Morarenter</t>
  </si>
  <si>
    <t>Rykkergebyr</t>
  </si>
  <si>
    <t>Rengøringsmidler</t>
  </si>
  <si>
    <t>Ændringer i Feriepengeforpligtigelse i alt</t>
  </si>
  <si>
    <t>Afskrivninger Undervisning</t>
  </si>
  <si>
    <t>Afskrivninger SFO</t>
  </si>
  <si>
    <t>Revision</t>
  </si>
  <si>
    <t>SUM, el</t>
  </si>
  <si>
    <t>Vand</t>
  </si>
  <si>
    <t>Realiserede kurstab</t>
  </si>
  <si>
    <t>Urealiserede kurstab</t>
  </si>
  <si>
    <t>Giro</t>
  </si>
  <si>
    <t>Realiserede kursgevinster</t>
  </si>
  <si>
    <t>Kommunale tilskud</t>
  </si>
  <si>
    <t>Indtægter:</t>
  </si>
  <si>
    <t>pr. barn</t>
  </si>
  <si>
    <t>Forplejning</t>
  </si>
  <si>
    <t>1. kl.</t>
  </si>
  <si>
    <t>2. kl.</t>
  </si>
  <si>
    <t>3. kl.</t>
  </si>
  <si>
    <t>4. kl.</t>
  </si>
  <si>
    <t>5. kl.</t>
  </si>
  <si>
    <t>6. kl.</t>
  </si>
  <si>
    <t>7. kl.</t>
  </si>
  <si>
    <t>Personaleudgifter i alt</t>
  </si>
  <si>
    <t>TOTAL:</t>
  </si>
  <si>
    <t>SUM, undervisningsmaterialer</t>
  </si>
  <si>
    <t>Andre EDB-konsulenter</t>
  </si>
  <si>
    <t>Tab, debitorer</t>
  </si>
  <si>
    <t>Daglige aktiviteter</t>
  </si>
  <si>
    <t>Daglige aktiviteter i alt</t>
  </si>
  <si>
    <t>Financielle poster</t>
  </si>
  <si>
    <t>Afskrivninger bygninger til scrapværdi 50% af xx mill</t>
  </si>
  <si>
    <t>Skalatrin</t>
  </si>
  <si>
    <t>III</t>
  </si>
  <si>
    <t>IV</t>
  </si>
  <si>
    <t>V</t>
  </si>
  <si>
    <t>VI</t>
  </si>
  <si>
    <t>løn</t>
  </si>
  <si>
    <t>SUM, vand</t>
  </si>
  <si>
    <t>Kurstab</t>
  </si>
  <si>
    <t>Varme</t>
  </si>
  <si>
    <t>SUM, varme</t>
  </si>
  <si>
    <t>El</t>
  </si>
  <si>
    <t>Bhkl.</t>
  </si>
  <si>
    <t>Administration i alt</t>
  </si>
  <si>
    <t>Repræsentation</t>
  </si>
  <si>
    <t>Forplejning spec:</t>
  </si>
  <si>
    <t>Forplejning i alt</t>
  </si>
  <si>
    <t>Lokaler / Bygninger</t>
  </si>
  <si>
    <t xml:space="preserve">Årets resultat: </t>
  </si>
  <si>
    <t>Udgifter i alt:</t>
  </si>
  <si>
    <t>A</t>
  </si>
  <si>
    <t>B</t>
  </si>
  <si>
    <t>C</t>
  </si>
  <si>
    <t>Andre lån</t>
  </si>
  <si>
    <t>Friskolefonden</t>
  </si>
  <si>
    <t>Regnskabsmæssig assistance</t>
  </si>
  <si>
    <t>EDB-lønbehandling og gebyr</t>
  </si>
  <si>
    <t>Lønrefusioner</t>
  </si>
  <si>
    <t>Copydan</t>
  </si>
  <si>
    <t>SUM, fotokopiering</t>
  </si>
  <si>
    <t>Inventar og udstyr</t>
  </si>
  <si>
    <t>Anskaffelse</t>
  </si>
  <si>
    <t>Leje og leasing</t>
  </si>
  <si>
    <t>Telefon</t>
  </si>
  <si>
    <t>Porto</t>
  </si>
  <si>
    <t>Vedligeholdelse af inventar m.m</t>
  </si>
  <si>
    <t>SUM, ejendomsforsikringerl</t>
  </si>
  <si>
    <t>Stedtillægsområde</t>
  </si>
  <si>
    <t>Pensionsg.</t>
  </si>
  <si>
    <t>Materialer</t>
  </si>
  <si>
    <t>Forældrebetaling</t>
  </si>
  <si>
    <t>Småanskaffelser</t>
  </si>
  <si>
    <t>Kurser</t>
  </si>
  <si>
    <t>Klasser</t>
  </si>
  <si>
    <t>Elevtal 5.</t>
  </si>
  <si>
    <t>Elev til -</t>
  </si>
  <si>
    <t>og afgang</t>
  </si>
  <si>
    <t>Private tilskud</t>
  </si>
  <si>
    <t>Kreditforening</t>
  </si>
  <si>
    <t>II</t>
  </si>
  <si>
    <t>D</t>
  </si>
  <si>
    <t>E</t>
  </si>
  <si>
    <t>F</t>
  </si>
  <si>
    <t>G</t>
  </si>
  <si>
    <t>Barn nr. i fam.</t>
  </si>
  <si>
    <t>Fotokopiering</t>
  </si>
  <si>
    <t>Tilbage til Hovedskemaet</t>
  </si>
  <si>
    <t>Udgifter i alt</t>
  </si>
  <si>
    <t>Årets resultat:</t>
  </si>
  <si>
    <t>Abonnementer</t>
  </si>
  <si>
    <t>Afskrivninger vedr. administration</t>
  </si>
  <si>
    <t>Inventar og udstyr, leje og leasing</t>
  </si>
  <si>
    <t>Tysk</t>
  </si>
  <si>
    <t>Sløjd</t>
  </si>
  <si>
    <t>Idræt</t>
  </si>
  <si>
    <t>Musik</t>
  </si>
  <si>
    <t>Løn pædagoger incl pension</t>
  </si>
  <si>
    <t>Lønafhængige omkostninger:</t>
  </si>
  <si>
    <t>Udgifter:</t>
  </si>
  <si>
    <t>SUM, andre lån</t>
  </si>
  <si>
    <t>Nye lån</t>
  </si>
  <si>
    <t>SUM, nye lån</t>
  </si>
  <si>
    <t>Skolepenge netto-rate
A — B</t>
  </si>
  <si>
    <t>Antal børn</t>
  </si>
  <si>
    <t>Antal  rater</t>
  </si>
  <si>
    <t>Skolepenge-indtægt
C x D x E</t>
  </si>
  <si>
    <t>Samlet moderation
B x D x E</t>
  </si>
  <si>
    <t>1.</t>
  </si>
  <si>
    <t>Skolepenge-sats pr. rate</t>
  </si>
  <si>
    <t>Moderation pr. rate</t>
  </si>
  <si>
    <t>Lejrskole</t>
  </si>
  <si>
    <t>Møder og arrangementer</t>
  </si>
  <si>
    <t>Mad og drikkevarer</t>
  </si>
  <si>
    <t>Ejendomsforsikringer</t>
  </si>
  <si>
    <t>Bygning</t>
  </si>
  <si>
    <t>SUM, tilsynaførende</t>
  </si>
  <si>
    <t>Kassekredit</t>
  </si>
  <si>
    <t>Hovedstol</t>
  </si>
  <si>
    <t>Startdato</t>
  </si>
  <si>
    <t xml:space="preserve">
Løbe-
tid</t>
  </si>
  <si>
    <t xml:space="preserve">
Rente-
fod</t>
  </si>
  <si>
    <t>Ter-
miner
/år</t>
  </si>
  <si>
    <t>Ann.
Serie
Mix</t>
  </si>
  <si>
    <t>Primo 
restgæld</t>
  </si>
  <si>
    <t>SUM, kreditfore.lån</t>
  </si>
  <si>
    <t>Statslån</t>
  </si>
  <si>
    <t xml:space="preserve">
Ann.</t>
  </si>
  <si>
    <t>SUM, statslån</t>
  </si>
  <si>
    <t>Løn i alt:</t>
  </si>
  <si>
    <t>Frugt</t>
  </si>
  <si>
    <t>Lønrefusioner vedr.mad/Kantine</t>
  </si>
  <si>
    <t>Øvrige udgifter Mad/Kantine</t>
  </si>
  <si>
    <t>Ekskursioner</t>
  </si>
  <si>
    <t>Afskrivninger Mad/Kantine</t>
  </si>
  <si>
    <t>Faste lejemål</t>
  </si>
  <si>
    <t xml:space="preserve">                     </t>
  </si>
  <si>
    <t>SUM, faste lejemål</t>
  </si>
  <si>
    <t>Status</t>
  </si>
  <si>
    <t>Gå til Hovedskemaet</t>
  </si>
  <si>
    <t>Ejendomsskat</t>
  </si>
  <si>
    <t>Financielle poster i alt</t>
  </si>
  <si>
    <t>Forsikringer (ej bygninger)</t>
  </si>
  <si>
    <t xml:space="preserve">EJENDOMSUDGIFTER  I ALT:  </t>
  </si>
  <si>
    <t>Pengestrøm</t>
  </si>
  <si>
    <t>AKTIVER I ALT:</t>
  </si>
  <si>
    <t xml:space="preserve">EGENKAPITAL 31/12 </t>
  </si>
  <si>
    <t>Langfristet gæld</t>
  </si>
  <si>
    <t>Kortfristet gæld</t>
  </si>
  <si>
    <t>Øvrige ejendomsomkostninger</t>
  </si>
  <si>
    <t>Øvrige omkostninger</t>
  </si>
  <si>
    <t xml:space="preserve">10. klasse </t>
  </si>
  <si>
    <t>Fællesudgiftstilskud</t>
  </si>
  <si>
    <t xml:space="preserve">KOSTAFDELING  I ALT:  </t>
  </si>
  <si>
    <t xml:space="preserve">Skolens elevtal </t>
  </si>
  <si>
    <t>Elever u. 13:</t>
  </si>
  <si>
    <t>Elever o. 13:</t>
  </si>
  <si>
    <t>Timelejemål</t>
  </si>
  <si>
    <t xml:space="preserve">Svømmehal </t>
  </si>
  <si>
    <t>nr.</t>
  </si>
  <si>
    <t>Art</t>
  </si>
  <si>
    <t>Udgifter til SFO</t>
  </si>
  <si>
    <t>SFO+ evt. børnehave udgifter</t>
  </si>
  <si>
    <t xml:space="preserve">UNDERVISNING I ALT:   </t>
  </si>
  <si>
    <t xml:space="preserve">Løn, rengøring og pedel </t>
  </si>
  <si>
    <t>Andre omkostninger, ejendomsdrift</t>
  </si>
  <si>
    <t xml:space="preserve">Løn administrativt personale </t>
  </si>
  <si>
    <t>Øvrige administrationsudgifter</t>
  </si>
  <si>
    <t>OMSÆTNINGSAKTIVER I ALT:</t>
  </si>
  <si>
    <t>Lokaleleje</t>
  </si>
  <si>
    <t>Prioritetsrenter</t>
  </si>
  <si>
    <t>Statstilskud</t>
  </si>
  <si>
    <t>EKSTRAORDINÆRE poster i alt</t>
  </si>
  <si>
    <t>FINANSIELLE POSTER</t>
  </si>
  <si>
    <t>Renteindtægter, konti</t>
  </si>
  <si>
    <t>Regionalfaktor</t>
  </si>
  <si>
    <t>Andele i forsyningsvirksomheder</t>
  </si>
  <si>
    <t>ANLÆGSAKTIVER I ALT:</t>
  </si>
  <si>
    <t>I alt</t>
  </si>
  <si>
    <t>LIKVIDITET:</t>
  </si>
  <si>
    <t>33a</t>
  </si>
  <si>
    <t>Driftsresultat</t>
  </si>
  <si>
    <t xml:space="preserve">MAD / KANTINE - KOSTAFDELING  I ALT:  </t>
  </si>
  <si>
    <t>Elevtal</t>
  </si>
  <si>
    <t>SFO</t>
  </si>
  <si>
    <t>Realiserede kursgevinster.</t>
  </si>
  <si>
    <t>Likvider</t>
  </si>
  <si>
    <t>Regulering i tilskud  incl. regionalisering</t>
  </si>
  <si>
    <t>Tilskud / elev:</t>
  </si>
  <si>
    <t xml:space="preserve">ADMINISTRATION M.V.  I ALT:   </t>
  </si>
  <si>
    <t>RESULTAT FØR Financielle poster:</t>
  </si>
  <si>
    <t>Renteindtægter</t>
  </si>
  <si>
    <t>Renteomkostninger m.v.</t>
  </si>
  <si>
    <t>FINANCIELLE POSTER I ALT</t>
  </si>
  <si>
    <t xml:space="preserve">RESULTAT FØR EKSTRAORD. </t>
  </si>
  <si>
    <t>Ekstraordinære indtægter</t>
  </si>
  <si>
    <t>Øvrige udgifter i alt</t>
    <phoneticPr fontId="55" type="noConversion"/>
  </si>
  <si>
    <t>Renter m.v., værdipapirer</t>
  </si>
  <si>
    <t>Elever bh.kl. - 10.kl</t>
  </si>
  <si>
    <t>Lønafhængige omkostninger</t>
  </si>
  <si>
    <t>Varme, el, vand og rengøring</t>
  </si>
  <si>
    <t>Vedligeholdelse</t>
  </si>
  <si>
    <t>SFO-Tilskud</t>
  </si>
  <si>
    <t>Andre indtægter</t>
  </si>
  <si>
    <t xml:space="preserve">INDTÆGTER I ALT:  </t>
  </si>
  <si>
    <t>Emneuger</t>
  </si>
  <si>
    <t>Specialundervisning</t>
  </si>
  <si>
    <t>(1 for stedtillægsområde 2 og 3, og 1,02 for std.omr. 4-6)</t>
  </si>
  <si>
    <t>Driftstilskud incl. regionalisering</t>
  </si>
  <si>
    <t>Difference i elevtallet:</t>
  </si>
  <si>
    <t>*5/12</t>
  </si>
  <si>
    <t>Tilskud fra fordelingsudvalg</t>
  </si>
  <si>
    <t>Lønrefusioner vedr. undervisning</t>
  </si>
  <si>
    <t>Sats</t>
  </si>
  <si>
    <t>SFO-indtægt
C x D x E</t>
  </si>
  <si>
    <t xml:space="preserve">EKSTRAORDINÆRE POSTER i alt :  </t>
  </si>
  <si>
    <t>ÅRETS RESULTAT</t>
  </si>
  <si>
    <t>3.</t>
  </si>
  <si>
    <t>4.</t>
  </si>
  <si>
    <t>Indtægter</t>
  </si>
  <si>
    <t>Udgifter</t>
  </si>
  <si>
    <t>Budgetforslag</t>
  </si>
  <si>
    <t>Bygningstilskud</t>
  </si>
  <si>
    <t>Gæld i alt</t>
  </si>
  <si>
    <t>PASSIVER I ALT:</t>
  </si>
  <si>
    <t>Øvrige statstilskud</t>
  </si>
  <si>
    <t>Undervisningsudgifter</t>
  </si>
  <si>
    <t>FINANSIELLE POSTER I ALT</t>
  </si>
  <si>
    <t>RESULTAT før ekstraordinære post</t>
  </si>
  <si>
    <t>Takst1 0 - 220 elever</t>
  </si>
  <si>
    <t>elever</t>
  </si>
  <si>
    <t>Takst2  220 - ∞</t>
  </si>
  <si>
    <t>Tilgodehavender</t>
  </si>
  <si>
    <t>Forudbetalte udgifter</t>
  </si>
  <si>
    <t>Værdipapirer</t>
  </si>
  <si>
    <t>Likvide beholdninger</t>
  </si>
  <si>
    <t>Takst2  221 - ∞</t>
  </si>
  <si>
    <t>Inventar og udstyr, undervisning</t>
  </si>
  <si>
    <t>DRIFTSOMKOSTNINGER I ALT</t>
  </si>
  <si>
    <t>Lønrefusioner reng./ pedel</t>
  </si>
  <si>
    <t>Ejendomme</t>
  </si>
  <si>
    <t>Konto</t>
  </si>
  <si>
    <t>Årselever</t>
  </si>
  <si>
    <t>Elever SFO</t>
  </si>
  <si>
    <t>Inventar og udstyr, administration</t>
  </si>
  <si>
    <t>Bus m.v.</t>
  </si>
  <si>
    <t>Deposita, Bankaktier</t>
  </si>
  <si>
    <t>Skolepenge (Skole, SFO, Børnehave)</t>
  </si>
  <si>
    <t>Øvrige udgifter</t>
  </si>
  <si>
    <t>Ekstraordinære udgifter</t>
  </si>
  <si>
    <t>Undervisningstilskud</t>
  </si>
  <si>
    <t>Administration</t>
  </si>
  <si>
    <t>Andre udgifter</t>
  </si>
  <si>
    <t>Lønrefusion administration</t>
  </si>
  <si>
    <t>2.</t>
  </si>
  <si>
    <t>Regnskab</t>
  </si>
  <si>
    <t>BUDGET</t>
  </si>
  <si>
    <t>Løn, undervisning</t>
  </si>
  <si>
    <t>Øvrige statstilskud i alt:</t>
  </si>
  <si>
    <t xml:space="preserve">Årselevtal: </t>
  </si>
  <si>
    <t>Generelt statstilskud</t>
  </si>
  <si>
    <t>Løn, Mad / Kantine - kostafdeling</t>
  </si>
  <si>
    <t>Andre udgifter Mad / Kantine - kostafdeling</t>
  </si>
  <si>
    <t>SUM:</t>
  </si>
  <si>
    <t>SFO-sats pr. rate</t>
  </si>
  <si>
    <t>SFO netto-rate
A — B</t>
  </si>
  <si>
    <t>Antal årlige rater</t>
  </si>
  <si>
    <t>Årselever i skolen</t>
  </si>
  <si>
    <t>Børnehavebørn</t>
  </si>
  <si>
    <t>Arbejdsskadeforsikring</t>
  </si>
  <si>
    <t>Ullykkesforsikring</t>
  </si>
  <si>
    <t>Erhvervsskadeforsikring</t>
  </si>
  <si>
    <t>Erhvervsforsikring</t>
  </si>
  <si>
    <t>Hjemrejseforsikring</t>
  </si>
  <si>
    <t>bestyrelsesansvar</t>
  </si>
  <si>
    <t>Pantebrev</t>
  </si>
  <si>
    <t>Kommunalt tilskud SFO/specialstøtte</t>
  </si>
  <si>
    <t>Bilag side</t>
  </si>
  <si>
    <t>L</t>
  </si>
  <si>
    <t>E40</t>
    <phoneticPr fontId="22" type="noConversion"/>
  </si>
  <si>
    <t>Pxx=P25, Exx=Efterlønskassen, L= Lærernes Pension (xx=skalatrin)
fx skalatrin 40 i P25: P40</t>
  </si>
  <si>
    <t>skolens stedtillægsområde 2-6</t>
  </si>
  <si>
    <t>iflg. ansættelsesbrev
eller pluslønsaftale (IKKE løbende overtid!)</t>
  </si>
  <si>
    <t>opslag i løntabel</t>
  </si>
  <si>
    <t>pensionsgivende</t>
  </si>
  <si>
    <t>pensionsgivende, indgår IKKE i garantitillægsberegningen</t>
  </si>
  <si>
    <t>pensionsgivende, indgår i garantitillægsberegningen</t>
  </si>
  <si>
    <t>OK08-tillæg</t>
  </si>
  <si>
    <t>Hvis 'JA' beregnes for varige og midlertidige tillæg (lin. 14-20) pension i LP for personer med tjenestemandspension</t>
    <phoneticPr fontId="11"/>
  </si>
  <si>
    <t>ikke ledere</t>
  </si>
  <si>
    <t>kun for lærere i Lærernes Pension</t>
  </si>
  <si>
    <t>efter gl. regler ("skyggeforløb")</t>
  </si>
  <si>
    <t>ATP, samlet indbetaling</t>
  </si>
  <si>
    <t>*) Herunder varige (funktions)tillæg, der ydes til bestemte løntrin eller generelt</t>
  </si>
  <si>
    <r>
      <t xml:space="preserve">**) for ansatte med pension i Efterlønskassen eller P25 </t>
    </r>
    <r>
      <rPr>
        <i/>
        <sz val="10"/>
        <color indexed="16"/>
        <rFont val="Helv"/>
      </rPr>
      <t>kan</t>
    </r>
    <r>
      <rPr>
        <sz val="10"/>
        <color indexed="16"/>
        <rFont val="Helv"/>
      </rPr>
      <t xml:space="preserve"> der aftales supplerende pension af varige (og midlertidige) tillæg (bortset fra udligningstillæg) i Lærernes Pension. Gælder også intervalløn.</t>
    </r>
  </si>
  <si>
    <t>læ:   0-650, bh:   0-750</t>
  </si>
  <si>
    <t>læ: 650-700, bh: 750-800</t>
  </si>
  <si>
    <t>læ: 700-750, bh: 800-835</t>
  </si>
  <si>
    <t xml:space="preserve">læ: 750-   , bh: 835-   </t>
  </si>
  <si>
    <t>skriv ikke procenttegnet</t>
  </si>
  <si>
    <t>skolens stedtillægsområde 2-6. Rettes på lærerarket.</t>
  </si>
  <si>
    <t>iflg. ansættelsesbrev</t>
  </si>
  <si>
    <t>opslag i løntabel incl stedtillæg</t>
  </si>
  <si>
    <t>ikke pensionsgivende ikke afhængig af BG</t>
  </si>
  <si>
    <t>pensionsgivende ikke afhængig af BG</t>
  </si>
  <si>
    <t>ikke pensionsgivende ikke reguleret</t>
  </si>
  <si>
    <t>ikke pensionsgivende</t>
  </si>
  <si>
    <t>1/3 af pensionsindbetalingen</t>
  </si>
  <si>
    <t>A-satser</t>
  </si>
  <si>
    <t>Skolens lønudgifter pr. måned</t>
  </si>
  <si>
    <t>Ansat antal måneder i året</t>
  </si>
  <si>
    <t>Lærerløn</t>
  </si>
  <si>
    <t>Pædagogisk personale</t>
  </si>
  <si>
    <t>Navn</t>
  </si>
  <si>
    <t>I alt til hovedskema</t>
  </si>
  <si>
    <t>Regulering i feriepengeforpligtigelse</t>
  </si>
  <si>
    <t>Kostafdeling</t>
  </si>
  <si>
    <t>Omfatter skoleårene</t>
  </si>
  <si>
    <t>HOVEDSKEMA</t>
  </si>
  <si>
    <t>Afskrivninger vedr. Ejendomsdrift</t>
  </si>
  <si>
    <t>Resultatopgørelse</t>
  </si>
  <si>
    <t>Pedel</t>
  </si>
  <si>
    <t>SFO leder</t>
  </si>
  <si>
    <t>Læ1</t>
  </si>
  <si>
    <t>Lønudgifter fra arket Løn SFO TAP mv</t>
  </si>
  <si>
    <t>Lønomkostninger i alt</t>
  </si>
  <si>
    <t>STATENS LØNTABEL GRUNDBELØB PR. 31. marts 2012</t>
  </si>
  <si>
    <t>Pensionsg.løn</t>
  </si>
  <si>
    <t>Læ2</t>
  </si>
  <si>
    <t>Læ3</t>
  </si>
  <si>
    <t>Bh1</t>
  </si>
  <si>
    <t>Bh2</t>
  </si>
  <si>
    <t>Bh3</t>
  </si>
  <si>
    <t>Områdetillæg</t>
  </si>
  <si>
    <t>ikke reguleret-  ikke pensionsgivende</t>
  </si>
  <si>
    <t>Basistrin</t>
  </si>
  <si>
    <t>Inklusionstilskud</t>
  </si>
  <si>
    <t>Svanevej Privatskole</t>
  </si>
  <si>
    <t>Bordings Friskole</t>
  </si>
  <si>
    <t>Landsbyskolen</t>
  </si>
  <si>
    <t>Vanløse Privatskole</t>
  </si>
  <si>
    <t>DIA Privatskole</t>
  </si>
  <si>
    <t>Kildeskolen</t>
  </si>
  <si>
    <t>Amager's International School</t>
  </si>
  <si>
    <t>Iqbal International School</t>
  </si>
  <si>
    <t>Jinnah International School</t>
  </si>
  <si>
    <t>Ahi International School</t>
  </si>
  <si>
    <t>Al Hikma Skolen</t>
  </si>
  <si>
    <t>Sjællands Privatskole</t>
  </si>
  <si>
    <t>Mariendal Friskole</t>
  </si>
  <si>
    <t>Al Quds Skole</t>
  </si>
  <si>
    <t>Al-Hilal Skolen</t>
  </si>
  <si>
    <t>Livets Skole</t>
  </si>
  <si>
    <t>Øresunds Internationale Skole</t>
  </si>
  <si>
    <t>Iqra Privatskole</t>
  </si>
  <si>
    <t>Salix Skole</t>
  </si>
  <si>
    <t>Frederiksberg Friskole</t>
  </si>
  <si>
    <t>Busses Skole</t>
  </si>
  <si>
    <t>Nærum Privatskole</t>
  </si>
  <si>
    <t>Al-Irchad Skolen</t>
  </si>
  <si>
    <t>Herfølge Privatskole</t>
  </si>
  <si>
    <t>Viby Friskole</t>
  </si>
  <si>
    <t>Roskilde Private Skole</t>
  </si>
  <si>
    <t>Kristofferskolen</t>
  </si>
  <si>
    <t>Sydkystens Privatskole</t>
  </si>
  <si>
    <t>Helsingør Privatskole</t>
  </si>
  <si>
    <t>Spjellerup Friskole</t>
  </si>
  <si>
    <t>Midtdjurs Friskole</t>
  </si>
  <si>
    <t>Feldballe Friskole</t>
  </si>
  <si>
    <t>Nr. Asmindrup Friskole</t>
  </si>
  <si>
    <t>Friskolen Skallerup</t>
  </si>
  <si>
    <t>Grænseegnens Friskole</t>
  </si>
  <si>
    <t>Ingstrup Trivselsskole</t>
  </si>
  <si>
    <t>Margrethelyst Friskole</t>
  </si>
  <si>
    <t>Klitmøller Friskole</t>
  </si>
  <si>
    <t>Stepping Friskole</t>
  </si>
  <si>
    <t>Vejlernes Naturfriskole</t>
  </si>
  <si>
    <t>Vendsyssel Friskole</t>
  </si>
  <si>
    <t>Randlevskolen</t>
  </si>
  <si>
    <t>Langtved Friskole</t>
  </si>
  <si>
    <t>Lørslev Friskole</t>
  </si>
  <si>
    <t>Allindelille Friskole</t>
  </si>
  <si>
    <t>Slotsparkens Friskole</t>
  </si>
  <si>
    <t>Bedsted Friskole</t>
  </si>
  <si>
    <t>Skovlund Friskole</t>
  </si>
  <si>
    <t>Svenstrup Friskole</t>
  </si>
  <si>
    <t>Jejsing Friskole</t>
  </si>
  <si>
    <t>Margrethe Reedtz Skolen</t>
  </si>
  <si>
    <t>Voldumegnens Friskole</t>
  </si>
  <si>
    <t>Kværkeby Friskole</t>
  </si>
  <si>
    <t>Hellum Friskole</t>
  </si>
  <si>
    <t>Ejsing Friskole</t>
  </si>
  <si>
    <t>Romalt Friskole</t>
  </si>
  <si>
    <t>Høve Friskole</t>
  </si>
  <si>
    <t>Vallekilde-Hørve Friskole</t>
  </si>
  <si>
    <t>Friskolen i Starreklinte</t>
  </si>
  <si>
    <t>Sæby-Hallenslev Friskole</t>
  </si>
  <si>
    <t>Tømmerup Fri- og Efterskole</t>
  </si>
  <si>
    <t>Kalundborg Friskole</t>
  </si>
  <si>
    <t>Forlev Friskole</t>
  </si>
  <si>
    <t>Helms Skole</t>
  </si>
  <si>
    <t>Ringsted Privatskole</t>
  </si>
  <si>
    <t>Ringsted Ny Friskole</t>
  </si>
  <si>
    <t>Lille Egede Friskole</t>
  </si>
  <si>
    <t>Landsgrav Friskole</t>
  </si>
  <si>
    <t>Trelleborg Friskole</t>
  </si>
  <si>
    <t>Friskolen Øster Egesborg</t>
  </si>
  <si>
    <t>Møn Friskole</t>
  </si>
  <si>
    <t>Friskolen af 2008</t>
  </si>
  <si>
    <t>Skovby Friskole</t>
  </si>
  <si>
    <t>Druestrup Friskole</t>
  </si>
  <si>
    <t>Stevns Friskole</t>
  </si>
  <si>
    <t>Sværdborg Friskole</t>
  </si>
  <si>
    <t>Sydbornholms Privatskole</t>
  </si>
  <si>
    <t>Broby Fri- og Efterskole</t>
  </si>
  <si>
    <t>Ollerup Friskole</t>
  </si>
  <si>
    <t>Vester Skerninge Friskole</t>
  </si>
  <si>
    <t>Haastrup Friskole</t>
  </si>
  <si>
    <t>Køng Idrætsfriskole</t>
  </si>
  <si>
    <t>Oure Friskole</t>
  </si>
  <si>
    <t>Friskolen i Jordløse</t>
  </si>
  <si>
    <t>Kertemindeegnens Friskole</t>
  </si>
  <si>
    <t>Middelfart Friskole</t>
  </si>
  <si>
    <t>Fænøsund Friskole</t>
  </si>
  <si>
    <t>Højby Friskole</t>
  </si>
  <si>
    <t>Odense Friskole</t>
  </si>
  <si>
    <t>Stige Friskole</t>
  </si>
  <si>
    <t>Al-Salahiyah Skolen</t>
  </si>
  <si>
    <t>Friskolen City Odense</t>
  </si>
  <si>
    <t>Mentiqa-Odense</t>
  </si>
  <si>
    <t>Al-Salam Skolen</t>
  </si>
  <si>
    <t>Nordskovens Friskole</t>
  </si>
  <si>
    <t>Rudme Friskole</t>
  </si>
  <si>
    <t>Krarup Friskole, Reventlowskolen</t>
  </si>
  <si>
    <t>Kassebølle Friskole</t>
  </si>
  <si>
    <t>Gislev Friskole</t>
  </si>
  <si>
    <t>Ryslinge Friskole</t>
  </si>
  <si>
    <t>Trunderup Friskole</t>
  </si>
  <si>
    <t>Øster Åby Friskole</t>
  </si>
  <si>
    <t>Magleby Fri- og Efterskole</t>
  </si>
  <si>
    <t>Refsvindinge Friskole</t>
  </si>
  <si>
    <t>Svindinge Friskole</t>
  </si>
  <si>
    <t>Ferritslev Friskole</t>
  </si>
  <si>
    <t>Frøbjerg-Orte Friskole</t>
  </si>
  <si>
    <t>Midtals Friskole</t>
  </si>
  <si>
    <t>Aller Friskole</t>
  </si>
  <si>
    <t>Simmersted Friskole</t>
  </si>
  <si>
    <t>Fole Friskole</t>
  </si>
  <si>
    <t>Gråsten Friskole</t>
  </si>
  <si>
    <t>Søgård Friskole</t>
  </si>
  <si>
    <t>Oksbøl Friskole</t>
  </si>
  <si>
    <t>Rødding Friskole</t>
  </si>
  <si>
    <t>Brøns Rejsby Friskole</t>
  </si>
  <si>
    <t>Tandslet Friskole</t>
  </si>
  <si>
    <t>Branderup Friskole</t>
  </si>
  <si>
    <t>Blåbjerg Friskole</t>
  </si>
  <si>
    <t>Kvong Friskole</t>
  </si>
  <si>
    <t>Friskolen i Bramming</t>
  </si>
  <si>
    <t>Gjerndrup Friskole</t>
  </si>
  <si>
    <t>Mejls-Orten-Tinghøj Friskole</t>
  </si>
  <si>
    <t>Tønning-Træden Friskole</t>
  </si>
  <si>
    <t>Bakkelandets Friskole</t>
  </si>
  <si>
    <t>Fredericia Friskole</t>
  </si>
  <si>
    <t>Vestbirk Friskole</t>
  </si>
  <si>
    <t>Karlskov Friskole</t>
  </si>
  <si>
    <t>As Friskole</t>
  </si>
  <si>
    <t>Kolding Friskole</t>
  </si>
  <si>
    <t>Friskolen i Thorlund</t>
  </si>
  <si>
    <t>Gludsted Friskole</t>
  </si>
  <si>
    <t>Klovborg Friskole</t>
  </si>
  <si>
    <t>Grejs Friskole</t>
  </si>
  <si>
    <t>Vejle Friskole</t>
  </si>
  <si>
    <t>Uhre Friskole</t>
  </si>
  <si>
    <t>Sdr. Vium Friskole</t>
  </si>
  <si>
    <t>Lyne Friskole</t>
  </si>
  <si>
    <t>Herning Friskole</t>
  </si>
  <si>
    <t>Parkskolen</t>
  </si>
  <si>
    <t>Studsgård Friskole</t>
  </si>
  <si>
    <t>Holstebro Friskole</t>
  </si>
  <si>
    <t>Balletskolen</t>
  </si>
  <si>
    <t>Bonnet Friskole</t>
  </si>
  <si>
    <t>Fjaltring Friskole</t>
  </si>
  <si>
    <t>Udefriskolen</t>
  </si>
  <si>
    <t>Velling Friskole</t>
  </si>
  <si>
    <t>Ølstrup Friskole</t>
  </si>
  <si>
    <t>Struer Friskole</t>
  </si>
  <si>
    <t>Resen Friskole</t>
  </si>
  <si>
    <t>Thyholm Friskole</t>
  </si>
  <si>
    <t>Sønder Nissum Friskole</t>
  </si>
  <si>
    <t>Hjelm Hede Friskole</t>
  </si>
  <si>
    <t>Regnbueskolen</t>
  </si>
  <si>
    <t>Friskolen i Hinnerup</t>
  </si>
  <si>
    <t>Vindblæs Friskole</t>
  </si>
  <si>
    <t>Samsø Friskole</t>
  </si>
  <si>
    <t>Friskolen i Lemming</t>
  </si>
  <si>
    <t>Selam Friskole</t>
  </si>
  <si>
    <t>Grønbjerg Friskole</t>
  </si>
  <si>
    <t>Hoven Friskole</t>
  </si>
  <si>
    <t>Herborg Friskole</t>
  </si>
  <si>
    <t>Gudenådalens Friskole</t>
  </si>
  <si>
    <t>Sahl Friskole</t>
  </si>
  <si>
    <t>Mammen Friskole</t>
  </si>
  <si>
    <t>Hanstholm Friskole</t>
  </si>
  <si>
    <t>Bjergby Friskole</t>
  </si>
  <si>
    <t>Skallerup Friskole</t>
  </si>
  <si>
    <t>Øster Jølby Friskole</t>
  </si>
  <si>
    <t>Sydvestmors Friskole</t>
  </si>
  <si>
    <t>Ørding Friskole</t>
  </si>
  <si>
    <t>Sundby Friskole</t>
  </si>
  <si>
    <t>Lødderup Friskole</t>
  </si>
  <si>
    <t>Friskolen i Skive</t>
  </si>
  <si>
    <t>Thise Friskole</t>
  </si>
  <si>
    <t>Sydthy Friskole</t>
  </si>
  <si>
    <t>Hundborg Friskole</t>
  </si>
  <si>
    <t>Thorsted Friskole</t>
  </si>
  <si>
    <t>Thisted Friskole</t>
  </si>
  <si>
    <t>Sønderhå-Hørsted Friskole</t>
  </si>
  <si>
    <t>Vejrum-Viskum Friskole</t>
  </si>
  <si>
    <t>Langsø Friskole</t>
  </si>
  <si>
    <t>Bjerregrav Friskole</t>
  </si>
  <si>
    <t>Fjelsø Friskole</t>
  </si>
  <si>
    <t>Klim Friskole</t>
  </si>
  <si>
    <t>Hjørring Ny Steinerskole</t>
  </si>
  <si>
    <t>Hobro Friskole</t>
  </si>
  <si>
    <t>Vilsted Friskole</t>
  </si>
  <si>
    <t>Vokslev Friskole</t>
  </si>
  <si>
    <t>Egense Friskole</t>
  </si>
  <si>
    <t>Nr. Kongerslev-Komdrup Friskole</t>
  </si>
  <si>
    <t>Guldbæk Friskole</t>
  </si>
  <si>
    <t>Gregers Krabbe Friskolen</t>
  </si>
  <si>
    <t>Jerslev-Østervrå Friskole</t>
  </si>
  <si>
    <t>Privatskolen i Sæby</t>
  </si>
  <si>
    <t>Vedsted Friskole</t>
  </si>
  <si>
    <t>Østskolen, Waldorfskolen i Aalborg</t>
  </si>
  <si>
    <t>Vaarst Friskole</t>
  </si>
  <si>
    <t>Lyngbjerggårdskolen</t>
  </si>
  <si>
    <t>Mentiqa Nordjylland</t>
  </si>
  <si>
    <t>Læ4</t>
  </si>
  <si>
    <t>Bh4</t>
  </si>
  <si>
    <t>altid pensionsgivende i LP</t>
  </si>
  <si>
    <t>Antal mdr * BG.</t>
  </si>
  <si>
    <t>A-satser.</t>
  </si>
  <si>
    <t>Iflg opgaveoversigt</t>
  </si>
  <si>
    <t>Budgetår</t>
  </si>
  <si>
    <t>Data til Budget</t>
  </si>
  <si>
    <t xml:space="preserve">ATP A-satser 1. Januar </t>
  </si>
  <si>
    <t xml:space="preserve">Bygningstilskud </t>
  </si>
  <si>
    <t>skoleår</t>
  </si>
  <si>
    <t>kalender-dage</t>
  </si>
  <si>
    <t>lø/søndage</t>
  </si>
  <si>
    <t>SH-dage</t>
  </si>
  <si>
    <t>sommer-ferie-start</t>
  </si>
  <si>
    <t>sommer-ferie-slut</t>
  </si>
  <si>
    <t>ferie-dage</t>
  </si>
  <si>
    <t>arbejds-dage</t>
  </si>
  <si>
    <t>årsnorm</t>
  </si>
  <si>
    <t>2004/05</t>
  </si>
  <si>
    <t>2005/06</t>
  </si>
  <si>
    <t>2006/07</t>
  </si>
  <si>
    <t>2007/08</t>
  </si>
  <si>
    <t>2008/09</t>
  </si>
  <si>
    <t>2009/10</t>
  </si>
  <si>
    <t>2010/11</t>
  </si>
  <si>
    <t>2011/12</t>
  </si>
  <si>
    <t>Gr.liv</t>
  </si>
  <si>
    <t>Gr.livAndre</t>
  </si>
  <si>
    <t>Vik.kas</t>
  </si>
  <si>
    <t>DFkont</t>
  </si>
  <si>
    <t>OK13-tillæg</t>
  </si>
  <si>
    <t>Gruppelivstakst</t>
  </si>
  <si>
    <t>Gruppeliv øvrige ansatte</t>
  </si>
  <si>
    <t>Grundtilskud til højst 40 elever pr. skole</t>
  </si>
  <si>
    <t>Fællesudgiftstaxameter til de føste 220 elever</t>
  </si>
  <si>
    <t>Fællesudgiftstaxameter til den 221. elev og efterfølgende</t>
  </si>
  <si>
    <t>Undervisningstaxameter til elever under 13 år</t>
  </si>
  <si>
    <t>Undervisningstaxameter til elever over 13 år - ekskl. 10. kl.</t>
  </si>
  <si>
    <t>Undervisningstaxameter til elever i 10. kl.</t>
  </si>
  <si>
    <t>Tilsynshonorar for skoler med op til 55 elever</t>
  </si>
  <si>
    <t>Tilsynshonorar for skoler med 55-109 elever</t>
  </si>
  <si>
    <t>Tilsynshonorar for skoler med over 219 elever</t>
  </si>
  <si>
    <t>Hvis ferien forskydes, skal der sørges for, at antallet af feriedage i et ferieår, 1. maj til 30. april, stadig er på 25 dage.</t>
  </si>
  <si>
    <t>Derved kan antallet af feriedage i et skoleår i en overgangsperiode blive på færre eller flere feriedage.</t>
  </si>
  <si>
    <t>Se fx årene 2006/07 og 2007/08.</t>
  </si>
  <si>
    <t>skkode</t>
  </si>
  <si>
    <t>navn</t>
  </si>
  <si>
    <t>stedområde</t>
  </si>
  <si>
    <t>Bjørn's Internationale Skole</t>
  </si>
  <si>
    <t>HAY-Skolen</t>
  </si>
  <si>
    <t>Al Huda Skolen</t>
  </si>
  <si>
    <t>Steinerskolen i København</t>
  </si>
  <si>
    <t>Nord-vest Privatskole</t>
  </si>
  <si>
    <t>Michael Skolen</t>
  </si>
  <si>
    <t>Vidar Skolen, Rud. St. Sk. i Gentofte</t>
  </si>
  <si>
    <t>Atheneskolen</t>
  </si>
  <si>
    <t>Rud. St. Sk. Kvistgård</t>
  </si>
  <si>
    <t>KonTiki</t>
  </si>
  <si>
    <t>Osted Fri- og Efterskole</t>
  </si>
  <si>
    <t>Freds Skolen</t>
  </si>
  <si>
    <t>Den Demokratiske Skole</t>
  </si>
  <si>
    <t>Astrup Friskole og Børnehave</t>
  </si>
  <si>
    <t>Roser Skolen</t>
  </si>
  <si>
    <t>Friskolen Hald Ege</t>
  </si>
  <si>
    <t>Filskov Friskole og Børnehave</t>
  </si>
  <si>
    <t>Vestermose Natur og Idrætsfriskole</t>
  </si>
  <si>
    <t>ROS Privatskole</t>
  </si>
  <si>
    <t>Friskolen Vellev</t>
  </si>
  <si>
    <t>Skelbæk Friskole</t>
  </si>
  <si>
    <t>Jelling Friskole</t>
  </si>
  <si>
    <t>Hellested Friskole</t>
  </si>
  <si>
    <t>Kværs Idrætsfriskole</t>
  </si>
  <si>
    <t>Den Nye Friskole</t>
  </si>
  <si>
    <t>Vejle Privatskole</t>
  </si>
  <si>
    <t>Faarevejle Fri- og Efterskole</t>
  </si>
  <si>
    <t>Vinde Helsinge Friskole/Vestsj. Idrætsef</t>
  </si>
  <si>
    <t>Friskolen &amp; Idrætsefterskolen Ubby</t>
  </si>
  <si>
    <t>Frejaskolen, Rud.St.Sk. på Midtsjælland</t>
  </si>
  <si>
    <t>Rud. St. Sk. i Vordingborg</t>
  </si>
  <si>
    <t>Enghaveskolen - Faaborgegnens Friskole</t>
  </si>
  <si>
    <t>Glamsbjerg Fri- og Efterskole</t>
  </si>
  <si>
    <t>Ådalskolen, Fangel Friskole</t>
  </si>
  <si>
    <t>Rud. St. Sk. i Odense</t>
  </si>
  <si>
    <t>Det Kgl. Teaters Balletskole i Odense</t>
  </si>
  <si>
    <t>Hjemly Fri- og Idrætsefterskole</t>
  </si>
  <si>
    <t>Ringe Fri- og Efterskole</t>
  </si>
  <si>
    <t>Ærø Friskole</t>
  </si>
  <si>
    <t>Nr. Lyndelse Friskole</t>
  </si>
  <si>
    <t>Sdr. Nærå Friskole &amp; Midtfyns Efterskole</t>
  </si>
  <si>
    <t>Løgumkloster Friskole</t>
  </si>
  <si>
    <t>Friskolen Østerlund</t>
  </si>
  <si>
    <t>Eckersberg Børneunivers</t>
  </si>
  <si>
    <t>Aabenraa Friskole</t>
  </si>
  <si>
    <t>Vejen Friskole</t>
  </si>
  <si>
    <t>Balle Friskole,Musik- &amp; Idrætsefterskole</t>
  </si>
  <si>
    <t>Hedegård Friskole</t>
  </si>
  <si>
    <t>Steiner Skolen i Vejle</t>
  </si>
  <si>
    <t>Hammerum Fri- og Efterskole</t>
  </si>
  <si>
    <t>Børneskolen ved Familiehøjskolen</t>
  </si>
  <si>
    <t>Bøvling Fri- &amp; Idrætsefterskole</t>
  </si>
  <si>
    <t>Hover-Torsted Friskole</t>
  </si>
  <si>
    <t>Den fri Hestehaveskole</t>
  </si>
  <si>
    <t>Frijsendal Friskole</t>
  </si>
  <si>
    <t>Mellerup Fri- og Efterskole</t>
  </si>
  <si>
    <t>Gjerrild-Bønnerup Friskole</t>
  </si>
  <si>
    <t>Odder lille Friskole</t>
  </si>
  <si>
    <t>Fussingø-Egnens Friskole</t>
  </si>
  <si>
    <t>Rud. St. Sk. i Silkeborg</t>
  </si>
  <si>
    <t>Rud. St. Sk. Skanderborg</t>
  </si>
  <si>
    <t>Rud. St. Sk. i Århus</t>
  </si>
  <si>
    <t>Lykkeskolen</t>
  </si>
  <si>
    <t>Den Moderne Kulturelle Skole</t>
  </si>
  <si>
    <t>Nilen Privatskole</t>
  </si>
  <si>
    <t>Rødding Friskole, Spøttrup</t>
  </si>
  <si>
    <t>Boddum-Ydby Friskole og Børnehave</t>
  </si>
  <si>
    <t>Skørbæk-Ejdrup Friskole og Naturbørnehav</t>
  </si>
  <si>
    <t>Hvilsom Friskole og Fribørnehave</t>
  </si>
  <si>
    <t>Aabybro Friskole</t>
  </si>
  <si>
    <t>Haubro Landsbyskole - Himmerl. Friskole</t>
  </si>
  <si>
    <t>6</t>
  </si>
  <si>
    <t>5</t>
  </si>
  <si>
    <t>4</t>
  </si>
  <si>
    <t>2</t>
  </si>
  <si>
    <t>3</t>
  </si>
  <si>
    <t>kommkode</t>
  </si>
  <si>
    <t>Historiske elevtal' er ikke nødvendige.</t>
  </si>
  <si>
    <t>PrcAar</t>
  </si>
  <si>
    <t>Prc</t>
  </si>
  <si>
    <t>ATP</t>
  </si>
  <si>
    <t>Grundtilsk</t>
  </si>
  <si>
    <t>FaeUdgSmaa</t>
  </si>
  <si>
    <t>FaeUdgStore</t>
  </si>
  <si>
    <t>UvtaxU13</t>
  </si>
  <si>
    <t>UvtaxO13</t>
  </si>
  <si>
    <t>UvTax10kl</t>
  </si>
  <si>
    <t>Da2sprTax</t>
  </si>
  <si>
    <t>PrakMedhTax</t>
  </si>
  <si>
    <t>Bygtilsk</t>
  </si>
  <si>
    <t>SFOtilsk</t>
  </si>
  <si>
    <t>FlexBidr</t>
  </si>
  <si>
    <t>BarselBidr</t>
  </si>
  <si>
    <t>Fremskr</t>
  </si>
  <si>
    <t>Tilsyn1</t>
  </si>
  <si>
    <t>Tilsyn2</t>
  </si>
  <si>
    <t>Tilsyn3</t>
  </si>
  <si>
    <t>Tilsyn4</t>
  </si>
  <si>
    <t>region</t>
  </si>
  <si>
    <t>Driftskapital</t>
  </si>
  <si>
    <t>Likviditetsgrad</t>
  </si>
  <si>
    <t>Inklusionstilskud, grundtilskud</t>
  </si>
  <si>
    <t>InklGrund</t>
  </si>
  <si>
    <t>navn ender på '_1'.</t>
  </si>
  <si>
    <t>FlydTill</t>
  </si>
  <si>
    <t>Forening</t>
  </si>
  <si>
    <t>DF</t>
  </si>
  <si>
    <t>DP</t>
  </si>
  <si>
    <t>LS</t>
  </si>
  <si>
    <t>FKF</t>
  </si>
  <si>
    <t>Kassekredit   (del af kortfristet gæld)</t>
  </si>
  <si>
    <t>Forud modtagne indtægter (del af kortfr. gæld)</t>
  </si>
  <si>
    <t>Henlæggelser (del af egenkapital)</t>
  </si>
  <si>
    <t>Elever på under 13 år</t>
  </si>
  <si>
    <t>Elever på 13 år og derover under 10. kl.</t>
  </si>
  <si>
    <t>10.kl.elever</t>
  </si>
  <si>
    <t>E42</t>
  </si>
  <si>
    <t>JA</t>
  </si>
  <si>
    <t>NEJ</t>
  </si>
  <si>
    <t>Pension</t>
  </si>
  <si>
    <t>E24</t>
  </si>
  <si>
    <t>E25</t>
  </si>
  <si>
    <t>E27</t>
  </si>
  <si>
    <t>E30</t>
  </si>
  <si>
    <t>E31</t>
  </si>
  <si>
    <t>E32</t>
  </si>
  <si>
    <t>E33</t>
  </si>
  <si>
    <t>E35</t>
  </si>
  <si>
    <t>E36</t>
  </si>
  <si>
    <t>E37</t>
  </si>
  <si>
    <t>E38</t>
  </si>
  <si>
    <t>E40</t>
  </si>
  <si>
    <t>P24</t>
  </si>
  <si>
    <t>P25</t>
  </si>
  <si>
    <t>P27</t>
  </si>
  <si>
    <t>P30</t>
  </si>
  <si>
    <t>P31</t>
  </si>
  <si>
    <t>P32</t>
  </si>
  <si>
    <t>P33</t>
  </si>
  <si>
    <t>P35</t>
  </si>
  <si>
    <t>P36</t>
  </si>
  <si>
    <t>P37</t>
  </si>
  <si>
    <t>P38</t>
  </si>
  <si>
    <t>P40</t>
  </si>
  <si>
    <t>P42</t>
  </si>
  <si>
    <t>NEJJA</t>
  </si>
  <si>
    <t>Lpension</t>
  </si>
  <si>
    <t>E43</t>
  </si>
  <si>
    <t>E44</t>
  </si>
  <si>
    <t>E45</t>
  </si>
  <si>
    <t>E46</t>
  </si>
  <si>
    <t>E47</t>
  </si>
  <si>
    <t>E48</t>
  </si>
  <si>
    <t>P43</t>
  </si>
  <si>
    <t>P44</t>
  </si>
  <si>
    <t>P45</t>
  </si>
  <si>
    <t>P46</t>
  </si>
  <si>
    <t>P47</t>
  </si>
  <si>
    <t>P48</t>
  </si>
  <si>
    <t>Elever i SFO, tilskudsberettigede</t>
  </si>
  <si>
    <t>Statstilskudsfremskrivning</t>
  </si>
  <si>
    <t>FremskrStatst</t>
  </si>
  <si>
    <t>Det er ligegyldigt for antallet af arbejdsdage og dermed årsnormen, hvis ferien forskydes inden for ferieåret, fx den ene uge i august til oktober.</t>
  </si>
  <si>
    <t>Indtast institutionsnummer:</t>
  </si>
  <si>
    <t>Specialundervisningstilskud - ny ordning aug 2016</t>
  </si>
  <si>
    <t>3. elev og følgende elever</t>
  </si>
  <si>
    <t>Tillægstakst til elev nr. 13 og følgende - på godkendte profilskoler</t>
  </si>
  <si>
    <t>Antal "SPS" elever</t>
  </si>
  <si>
    <r>
      <t xml:space="preserve">13 år og derover </t>
    </r>
    <r>
      <rPr>
        <sz val="10"/>
        <color theme="1"/>
        <rFont val="Arial"/>
        <family val="2"/>
      </rPr>
      <t>(ikke 10.kl.)</t>
    </r>
  </si>
  <si>
    <t>x</t>
  </si>
  <si>
    <r>
      <t xml:space="preserve">Vælg x såfremt skolen har min. 13 elever med et specialundervisningsbehov på min 12 ugentlige lektioner, OG så-fremt skolen er </t>
    </r>
    <r>
      <rPr>
        <b/>
        <sz val="10"/>
        <rFont val="Arial"/>
        <family val="2"/>
      </rPr>
      <t xml:space="preserve"> godkend</t>
    </r>
    <r>
      <rPr>
        <sz val="10"/>
        <rFont val="Arial"/>
        <family val="2"/>
      </rPr>
      <t>t som profilskole.</t>
    </r>
  </si>
  <si>
    <t>Stedtillægsområde:</t>
  </si>
  <si>
    <t xml:space="preserve">TAST SELV </t>
  </si>
  <si>
    <t>Ulempe og weekendtillæg i alt</t>
  </si>
  <si>
    <t>Region</t>
  </si>
  <si>
    <t>DDSV</t>
  </si>
  <si>
    <t>GYM</t>
  </si>
  <si>
    <t>2012/13</t>
  </si>
  <si>
    <t>2013/14</t>
  </si>
  <si>
    <t>2014/15</t>
  </si>
  <si>
    <t>2015/16</t>
  </si>
  <si>
    <t>2016/17</t>
  </si>
  <si>
    <t>2017/18</t>
  </si>
  <si>
    <t>2018/19</t>
  </si>
  <si>
    <t>2019/20</t>
  </si>
  <si>
    <t>Fysiklokale</t>
  </si>
  <si>
    <t xml:space="preserve">Varme olie </t>
  </si>
  <si>
    <t>EL</t>
  </si>
  <si>
    <t>Kopiering incl. Leasing</t>
  </si>
  <si>
    <t>Kontingent pr. elev nr. 0 - 220 til Dansk Friskoleforening</t>
  </si>
  <si>
    <t>Kampagnebidrag pr. elev</t>
  </si>
  <si>
    <t>Kontingent daginstituion - Dansk friskoleforening, pr. barn</t>
  </si>
  <si>
    <t>Lønudgifter daginstitution</t>
  </si>
  <si>
    <t>Lønrefusioner vedr. daginstitution</t>
  </si>
  <si>
    <t>Ændring i feriepengeforpligtigelse daginstitution</t>
  </si>
  <si>
    <t>Lønrefusioner vedr. SFO</t>
  </si>
  <si>
    <t>Resultat daginstitution</t>
  </si>
  <si>
    <t>Kvikvejledning til budgetværktøjet.</t>
  </si>
  <si>
    <t>Tast KUN i de gule felter  - i de grå felter ligger der formler som IKKE må overskrives</t>
  </si>
  <si>
    <t>Tilsynshonorar for skoler med over 110-219 elever</t>
  </si>
  <si>
    <t>Ekstraordinære udgifter - tastes som et positivt tal</t>
  </si>
  <si>
    <t>P49</t>
  </si>
  <si>
    <t>Daginstitution</t>
  </si>
  <si>
    <t>HK1</t>
  </si>
  <si>
    <t>HK2</t>
  </si>
  <si>
    <t>HK3</t>
  </si>
  <si>
    <t>HK4</t>
  </si>
  <si>
    <t>Titel</t>
  </si>
  <si>
    <t>Orlov</t>
  </si>
  <si>
    <t>Nej</t>
  </si>
  <si>
    <t>Kombineret</t>
  </si>
  <si>
    <t>pæd</t>
  </si>
  <si>
    <t>ATP timesats i alt</t>
  </si>
  <si>
    <t>Hvis der ønskes flere kolonner til, kan der indsættes flere mellem første og sidste personale i hvert "ansættelsesområde"Sæt ALDRIG EFTER den sidste ansatte i hvert "ansættelseskategori". Kopier èn enkelt kolonne af gangen og "indsæt speciel".</t>
  </si>
  <si>
    <t>Timelønnet</t>
  </si>
  <si>
    <t>Antal timer pr. mdr. KUN FOR TIMELØNNEDE LÆRER</t>
  </si>
  <si>
    <t>Timeløn - oplyses i 12 kr.</t>
  </si>
  <si>
    <t>Kontingent pr. elev fra nr. 221 til Dansk Friskoleforening</t>
  </si>
  <si>
    <t>Kontingent Dansk friskoleforening(Grundbeløb, elevkontingent op til elev nr. 220 samt kampagnebidrag)</t>
  </si>
  <si>
    <t>Rabat - Kontingent Dansk friskoleforening(fra elev nr. 221)</t>
  </si>
  <si>
    <t>TAST SELV</t>
  </si>
  <si>
    <t>Prioritetsrenter(Tastes som et positivt tal)</t>
  </si>
  <si>
    <t>Renteudgifter, vedr. kassekredit m.v.(Tastes som et positivt tal)</t>
  </si>
  <si>
    <t>Realiserede og urealiserede kurstab(Tastes som et positivt tal)</t>
  </si>
  <si>
    <t>Timeløn 1</t>
  </si>
  <si>
    <t>Timeløn 2</t>
  </si>
  <si>
    <t>Heltidsskolefritidsordning</t>
  </si>
  <si>
    <t>Timeløn sekr. 1</t>
  </si>
  <si>
    <t>Timeløn sekr. 2</t>
  </si>
  <si>
    <t>Timeløn ejendom 1</t>
  </si>
  <si>
    <t>Timeløn ejendom 2</t>
  </si>
  <si>
    <t>Timeløn Kostafd. 1</t>
  </si>
  <si>
    <t>Timeløn Kostafd. 2</t>
  </si>
  <si>
    <t>Timelønnede pædagoger i daginstitution</t>
  </si>
  <si>
    <t>Timelønnede pædagoger i heltids-SFO</t>
  </si>
  <si>
    <t>Timelønnede adm.personale</t>
  </si>
  <si>
    <t>Timelønnede pedel og rengøring</t>
  </si>
  <si>
    <t>Timelønnede i kostafd.</t>
  </si>
  <si>
    <t>Mdr. lønnede i daginstitution</t>
  </si>
  <si>
    <t>Mdr. lønnede i skolens heltids-SFO</t>
  </si>
  <si>
    <t>Mdr. lønnede administrativ personale</t>
  </si>
  <si>
    <t>Mdr. lønnede pedel og rengøring</t>
  </si>
  <si>
    <t>Månedslønnede i kostafdeling</t>
  </si>
  <si>
    <t>Ejendom</t>
  </si>
  <si>
    <t>Lønrefusioner vedr. heltids-SFO</t>
  </si>
  <si>
    <t>I alt pr. år til hovedskema 2017</t>
  </si>
  <si>
    <t>BALANCE</t>
  </si>
  <si>
    <t>Lønrefusioner vedr. heltidsskolefritidsordning</t>
  </si>
  <si>
    <t>basisløn for lærer (Læ) eller bhkl.leder (Bh). V. Timelønnede skriv timeløn i 12 kr.</t>
  </si>
  <si>
    <t>Løn Pæd., TAP mm: Bruges til lønbudget for skolens pædagoger i såvel SFO, daginstitution, heltidsskolefritidsordning, sekretær, pedel samt evt. kostafdeling.</t>
  </si>
  <si>
    <t>lønudgift for skalatrinslønnede samt timelønnede ansatte i SFO, daginstitution, heltidskolefritidsordning, pedel/rengøring, administration samt kostafdeling</t>
  </si>
  <si>
    <t>Ulempe tillæg - 25% (Skriv antal årlige hele arbejdstimer der udløser ulempetillæg i tidsummet 17-06 samt i weekender og som udbetales) Arket beregner selv 25% af nettotimelønnen.</t>
  </si>
  <si>
    <t>Ansattes betaling for lys og varme mv.</t>
  </si>
  <si>
    <t>Ansattes betaling for kost</t>
  </si>
  <si>
    <t>Salg fra kostafdeling/kantine</t>
  </si>
  <si>
    <t>Betaling for skolemad</t>
  </si>
  <si>
    <t>Kontingent skolekredsmedlemmer og lignende</t>
  </si>
  <si>
    <t>Kommunale tilskud, støttekrævende elever i grundskolen</t>
  </si>
  <si>
    <t>Kommunale tilskud, øvrige</t>
  </si>
  <si>
    <t>Tilskud fra kompetencefonden, Dansk Erhverv til efter- og videreuddannelse</t>
  </si>
  <si>
    <t>Andre indtægter og tilskud</t>
  </si>
  <si>
    <t>Skolefritidsordningsbetaling, netto(0. - 3. klasse)</t>
  </si>
  <si>
    <t>Kommunale tilskud , heltidskolefritidsordning</t>
  </si>
  <si>
    <t>Omsætning i alt:</t>
  </si>
  <si>
    <t>STATSTILSKUD</t>
  </si>
  <si>
    <t>SKOLEPENGE OG BETALING FOR PASNINGSORDNINGER</t>
  </si>
  <si>
    <t>ANDRE INDTÆGTER OG TILSKUD</t>
  </si>
  <si>
    <t>Skolepenge grundskolen - netto</t>
  </si>
  <si>
    <t>SFO 0. - 3. klasse</t>
  </si>
  <si>
    <t>Må kun medtages i budgettet såfremt skolen i ovennævnte skolepengeindtægter har budgetteret med samme nedslag i skolepenge</t>
  </si>
  <si>
    <t>Tilskud til nedbringelse af skolepenge fra fordelingssekretariatet  - OBS(Læs det med rødt)</t>
  </si>
  <si>
    <t>Tilskud til nedbringelse af SFO-betaling fra fordelingssekretariatet  - OBS(Læs det med rødt)</t>
  </si>
  <si>
    <t>Må kun medtages i budgettet såfremt skolen i ovennævnte SFO-indtægter har budgetteret med samme nedslag</t>
  </si>
  <si>
    <t>Vuggestuebørn</t>
  </si>
  <si>
    <t>ANDRE FORÆLDREBETALTE INDTÆGTER:</t>
  </si>
  <si>
    <t>ANDRE INDTÆGTER OG TILSKUD:</t>
  </si>
  <si>
    <t>Kommunalt tilskud</t>
  </si>
  <si>
    <t>5.</t>
  </si>
  <si>
    <t>6.</t>
  </si>
  <si>
    <t>Børnehavebetaling</t>
  </si>
  <si>
    <t>Vuggestuebetaling</t>
  </si>
  <si>
    <t>Kommunale tilskud, vuggestue</t>
  </si>
  <si>
    <t>Kommunale tilskud, børnehave</t>
  </si>
  <si>
    <t>Kommunale tilskud, støttekrævende elever SFO</t>
  </si>
  <si>
    <t>Tilskud fra kompentencefonden mm</t>
  </si>
  <si>
    <t>Lejeindtægter fra lokaler mv.</t>
  </si>
  <si>
    <t>Donationer, grundskolen og SFO</t>
  </si>
  <si>
    <t>Kommunale tilskud SFO (0-3 klasse)</t>
  </si>
  <si>
    <t>1</t>
  </si>
  <si>
    <t>Sponsorløb</t>
  </si>
  <si>
    <t>SFO-penge i alt til hovedskema lin. 16</t>
  </si>
  <si>
    <t>Heltidsskolefritidsordningsbetaling</t>
  </si>
  <si>
    <r>
      <rPr>
        <sz val="10"/>
        <color theme="1"/>
        <rFont val="Arial"/>
        <family val="2"/>
      </rPr>
      <t>Skolens evt. egen fripladspulje.</t>
    </r>
    <r>
      <rPr>
        <sz val="7"/>
        <color rgb="FFFF0000"/>
        <rFont val="Arial"/>
        <family val="2"/>
      </rPr>
      <t xml:space="preserve"> </t>
    </r>
    <r>
      <rPr>
        <sz val="6"/>
        <color rgb="FFFF0000"/>
        <rFont val="Arial"/>
        <family val="2"/>
      </rPr>
      <t>Tastes som et negativt beløb.</t>
    </r>
    <r>
      <rPr>
        <sz val="6"/>
        <color theme="1"/>
        <rFont val="Arial"/>
        <family val="2"/>
      </rPr>
      <t xml:space="preserve"> (Fripladspuljen må ikke være modregnet i ovennævnte skolepengesatser/moderationer)</t>
    </r>
  </si>
  <si>
    <r>
      <t xml:space="preserve">Skolens evt. egen fripladspulje. </t>
    </r>
    <r>
      <rPr>
        <sz val="6"/>
        <color rgb="FFFF0000"/>
        <rFont val="Arial"/>
        <family val="2"/>
      </rPr>
      <t xml:space="preserve">Tastes som et negativt beløb. </t>
    </r>
    <r>
      <rPr>
        <sz val="6"/>
        <color theme="1"/>
        <rFont val="Arial"/>
        <family val="2"/>
      </rPr>
      <t>(Fripladspuljen må ikke være modregnet i ovennævnte skolepengesatser/moderationer)</t>
    </r>
  </si>
  <si>
    <t>Flexjobbidrag samt bidrag til barselsfonden</t>
  </si>
  <si>
    <t>Barsel.dk - gælder kun ansatte i skolens daginstitution</t>
  </si>
  <si>
    <t>Øvrige tilskud vedr. løn</t>
  </si>
  <si>
    <t>Andre udgifter vedr. undervisning</t>
  </si>
  <si>
    <t>Andre udgifter vedr. SFO</t>
  </si>
  <si>
    <t>Andre udgifter vedr. dagtilbud</t>
  </si>
  <si>
    <t>Andre udgifter vedr. heltidsskolefritidsordning</t>
  </si>
  <si>
    <t>Undervisningsmaterialer inklusiv bøger mv.</t>
  </si>
  <si>
    <t>Lejrskoler, rejser og ekskursioner</t>
  </si>
  <si>
    <t>SUM, lejrskoler, rejser og ekskursioner</t>
  </si>
  <si>
    <t>Leje af bus</t>
  </si>
  <si>
    <t>Tilskud til bef. ved brobygning - tastes som et minustal</t>
  </si>
  <si>
    <t>Befordringsudgifter inkl. drift af busser(vedr. uv.) Netto</t>
  </si>
  <si>
    <t>Befordring mellem skole og hjem - Netto</t>
  </si>
  <si>
    <t>Tilskud til befordring til syge elever(FSKR)Tast i minus</t>
  </si>
  <si>
    <t>Tilskud til nedsættelse af bef.udgifter(FSKR) Tast i minus</t>
  </si>
  <si>
    <t>Tilskud til bef. af svært hanidcappede elever(FSKR) Tast i minus</t>
  </si>
  <si>
    <t>Egendækning vedr. befordring - Tast i minus</t>
  </si>
  <si>
    <t>Køb af buskort</t>
  </si>
  <si>
    <t>Pædagogiske kurser, Netto</t>
  </si>
  <si>
    <t>Efter og videreuddannelse</t>
  </si>
  <si>
    <t>Pædagogiske dage</t>
  </si>
  <si>
    <t>Tilskud til læreres kursusdeltagelse(FSKR) Tast i minus</t>
  </si>
  <si>
    <t>Tilskud til certificering af tilsynsførende og tilsyn(FSKR)</t>
  </si>
  <si>
    <t>Tjenesterejser</t>
  </si>
  <si>
    <t>SUM, Pædagogiske kurser</t>
  </si>
  <si>
    <t>SUM, Befordring mellem skole og hjem</t>
  </si>
  <si>
    <t xml:space="preserve">SUM, Befordringsudgifter </t>
  </si>
  <si>
    <t>SUM, Tjenesterejser</t>
  </si>
  <si>
    <t>Inventar og udstyr, småanskaffelser</t>
  </si>
  <si>
    <t>Inventar og udstyr, vedligeholdelse</t>
  </si>
  <si>
    <t>Inventar og udstyr, afskrivninger</t>
  </si>
  <si>
    <t xml:space="preserve">SUM, Inventar og udstyr </t>
  </si>
  <si>
    <t>IT-omkostninger</t>
  </si>
  <si>
    <t>Licenser</t>
  </si>
  <si>
    <t>Programmer</t>
  </si>
  <si>
    <t>SUM, IT-omkostninger</t>
  </si>
  <si>
    <t>Køb af hjælpemidler til elever med særlige behov</t>
  </si>
  <si>
    <t>It-rygsæk</t>
  </si>
  <si>
    <t>SUM, Hjælpemidler til elever med særlige behov</t>
  </si>
  <si>
    <t>SUM, Øvrige omkostninger</t>
  </si>
  <si>
    <t xml:space="preserve">Tilsynsførende honorar </t>
  </si>
  <si>
    <t>Pædagogiske kurser</t>
  </si>
  <si>
    <t>It-omkostninger(abonnementer, licenser og programmer)</t>
  </si>
  <si>
    <t>Mad og drikke</t>
  </si>
  <si>
    <t>Div. Materialer</t>
  </si>
  <si>
    <t>Efter- og videreuddannelse</t>
  </si>
  <si>
    <t>It-omkostninger i alt</t>
  </si>
  <si>
    <t>Øvrige omkostninger i alt</t>
  </si>
  <si>
    <t>Tjenesterejser i alt</t>
  </si>
  <si>
    <t>Materialer:</t>
  </si>
  <si>
    <t>Inventar og udstyr i alt</t>
  </si>
  <si>
    <t>Inventar og udstyr, småanskaffelse</t>
  </si>
  <si>
    <t>Inventar og udstyr, vedligehold</t>
  </si>
  <si>
    <t>IT-omkostninger(Licens, prog)</t>
  </si>
  <si>
    <t>Øvrige omkosninger</t>
  </si>
  <si>
    <t>Lønudgifter Daginstitution:</t>
  </si>
  <si>
    <t>Løn og andre omkostninger vedr. undervisning og pasningsordniger i alt</t>
  </si>
  <si>
    <t>LØN OG ANDRE OMKOSTNINGER VEDR. UNDERVISNING OG PASNINGSORDNINGER:</t>
  </si>
  <si>
    <t>EJENDOMSUDGIFTER VEDR. UNDERVISNING OG PASNINGSORDNINGER:</t>
  </si>
  <si>
    <t>UDGIFTER TIL KOSTAFDELING, KANTINEDRIFT OG SKOLEMADSORDNING</t>
  </si>
  <si>
    <t>UDGIFTER TIL ADMINISTRATION:</t>
  </si>
  <si>
    <t>ADMINISTRATIONSUDGIFTER I ALT:</t>
  </si>
  <si>
    <t>OMKOSTNINGER  I ALT</t>
  </si>
  <si>
    <t>RESULTAT FØR FINASIELLE POSTER</t>
  </si>
  <si>
    <t>FINANSIELLE INDTÆGER M.V.</t>
  </si>
  <si>
    <t>FINANSIELLE OMKOSTNINGER M.V.</t>
  </si>
  <si>
    <t>Udgifter vedr. ejendommen</t>
  </si>
  <si>
    <t>Bygninger</t>
  </si>
  <si>
    <t>Halleje</t>
  </si>
  <si>
    <t>Vandafledning</t>
  </si>
  <si>
    <t>Rengøring og renovation</t>
  </si>
  <si>
    <t>Skriv procent</t>
  </si>
  <si>
    <t>Beløb</t>
  </si>
  <si>
    <t>SUM, ejendomsskat</t>
  </si>
  <si>
    <t>Alarm</t>
  </si>
  <si>
    <t>Pedelseminar</t>
  </si>
  <si>
    <t>SUM, kurser</t>
  </si>
  <si>
    <t>SUM, rengøring og renovation</t>
  </si>
  <si>
    <t>SUM, øvrige omkostninger</t>
  </si>
  <si>
    <t>SUM,Afskrivninger vedr.  Ejendomsudgifter</t>
  </si>
  <si>
    <t>Heraf Daginstitutionens andel:</t>
  </si>
  <si>
    <t xml:space="preserve">Ejendomsudgifter ifølge spec. </t>
  </si>
  <si>
    <t>Vedligeholdelse bygninger og arealer</t>
  </si>
  <si>
    <t>SUM, Inventar og udstyr</t>
  </si>
  <si>
    <t>SUM, Timelejemål</t>
  </si>
  <si>
    <t>Skatter og forsikring</t>
  </si>
  <si>
    <t>Afskrivninger Ejendom</t>
  </si>
  <si>
    <t>Markedsføring</t>
  </si>
  <si>
    <t>Årsskrift</t>
  </si>
  <si>
    <t xml:space="preserve">Annoncer </t>
  </si>
  <si>
    <t>PR</t>
  </si>
  <si>
    <t>Omkostninger ved ansættelse af personale</t>
  </si>
  <si>
    <t>Stillingsannoncer</t>
  </si>
  <si>
    <t>Personaleomkostninger</t>
  </si>
  <si>
    <t>Forplejning v. Interne arrangementer</t>
  </si>
  <si>
    <t>Julegaver</t>
  </si>
  <si>
    <t>Lejlighedsgaver</t>
  </si>
  <si>
    <t>Lægeattest</t>
  </si>
  <si>
    <t>Bestyrelsesomkostninger</t>
  </si>
  <si>
    <t>Bestyrelseskurser</t>
  </si>
  <si>
    <t>Årsmøder</t>
  </si>
  <si>
    <t>Budgetkursus</t>
  </si>
  <si>
    <t>Skoleårets planlægning</t>
  </si>
  <si>
    <t>Sikkerhedskurser</t>
  </si>
  <si>
    <t>Lovpligtige afgifter Personale</t>
  </si>
  <si>
    <t>Undervisning</t>
  </si>
  <si>
    <t>Kostafdeling/Kantine</t>
  </si>
  <si>
    <t>Kontorartikler, porto og telefon</t>
  </si>
  <si>
    <t>Div. Korntorartikler</t>
  </si>
  <si>
    <t>Kontingent til skoleforeninger</t>
  </si>
  <si>
    <t>Andre omkostninger administration</t>
  </si>
  <si>
    <t>Administrationsudgifter ifølge spec.</t>
  </si>
  <si>
    <t>Finansielle indtægter</t>
  </si>
  <si>
    <t>Særlige indtægter</t>
  </si>
  <si>
    <t>Særlige udgifter</t>
  </si>
  <si>
    <t>Øvrige omk. I alt</t>
  </si>
  <si>
    <t>Andre lønudgifter</t>
  </si>
  <si>
    <t>Kontingent daginstitution</t>
  </si>
  <si>
    <t>Omkostninger kostafd, kantinedrift og skolemadsordning</t>
  </si>
  <si>
    <t>Madvarer</t>
  </si>
  <si>
    <t>Evt. EU-tilskud fratrækkes - tastes som negativt beløb</t>
  </si>
  <si>
    <t>Fritidsaktiviteter/weekendarrangementer</t>
  </si>
  <si>
    <t>Afskrivning</t>
  </si>
  <si>
    <t>Øvrig omkostninger</t>
  </si>
  <si>
    <t>Afskrivninger vedr. kostafdeling</t>
  </si>
  <si>
    <t>Afskrivning Administration</t>
  </si>
  <si>
    <t>Afhængig af skolestørrelse</t>
  </si>
  <si>
    <t>Afskrivning undervisning</t>
  </si>
  <si>
    <t>SUM, Afskrivning vedr. undervisning</t>
  </si>
  <si>
    <t>Afskrivning SFO</t>
  </si>
  <si>
    <t>Afskrivninger Kostafdeling</t>
  </si>
  <si>
    <t>Afskrivninger Administration</t>
  </si>
  <si>
    <t>Afskrivning Daginstitution</t>
  </si>
  <si>
    <t xml:space="preserve">Hovedskema: Budgettet for det kommende år samt året efter vises i hovedskemaet. Hovedskemaet er det skema der "samler" de indtastede oplysninger fra værktøjets øvrige ark. Hovedskemaet er bygget op, så den bedst muligt spejler sig op af den nye regnskabsbekendtgørelse. </t>
  </si>
  <si>
    <t>Skolepenge mv: Tast her alle oplysninger om priser, rater og antal elever pr. pris både ved skolepenge og SFO.(Bemærk SFO opdeles fra 0-3 klasse og fra 4. klasse og opefter). Såfremt antal elever/SFO-børn ikke stemmer overens med 5. september indberetning oplyst på arket "forside", vil der dukke en rød linie op som fortæller dette. Hvis skolen forventer at opkræver flere eller midre elever end 5. september, ses der bort fra denen røde advarsel. Ellers skal elevtal/SFO-tallet rettes således de stemmer overens med antalt pr. 5. september.  Nederst indtastes andre indtægter.</t>
  </si>
  <si>
    <t xml:space="preserve">Øverst i hvert ark findes et grønt felt "Til Hovedskema" og "Elevprognose". Ved at klikke på disse felter hopper man straks tilbage til hhv. hovedskema og elevprognose. </t>
  </si>
  <si>
    <t>I arket "Hovedskema" er der yderst til venstre grønne felter, der leder til det ark, hvor indtægten eller udgiften stammer fra.</t>
  </si>
  <si>
    <t>Grundbeløb pr. skole til Dansk friskoleforening</t>
  </si>
  <si>
    <t>Betaling for materialer</t>
  </si>
  <si>
    <t>Betaling for ekskursioner</t>
  </si>
  <si>
    <t>Betaling for rejser</t>
  </si>
  <si>
    <t>Donationer</t>
  </si>
  <si>
    <t>Afskrivninger  inventar og udstyr</t>
  </si>
  <si>
    <t>Koloni</t>
  </si>
  <si>
    <t>Lejeomkostninger (faste lejemål)</t>
  </si>
  <si>
    <t>Lejemål i alt</t>
  </si>
  <si>
    <t>I alt til daginstitutioner eks. Lejemål</t>
  </si>
  <si>
    <t>Inventar og udstyr - Dagtilbud</t>
  </si>
  <si>
    <t>Tjenesterejser vedr. pæd. personale</t>
  </si>
  <si>
    <t>It-omkostninger vedr. daginstitution</t>
  </si>
  <si>
    <t>Øvrige omkostninger vedr. daginst.</t>
  </si>
  <si>
    <t xml:space="preserve">Børnehave pris pr. rate. </t>
  </si>
  <si>
    <t>Øvrige statstilskud(Bygning, SPS, SFO)</t>
  </si>
  <si>
    <t>Andre forældrebetalte indtægter Børnehave</t>
  </si>
  <si>
    <t>Andre forældrebetalte indtægter - skole</t>
  </si>
  <si>
    <t>Kommunalt driftstilskud pr. barn pr. mdr.</t>
  </si>
  <si>
    <t>Kommunalt adm.tilskud pr. barn pr. mdr.</t>
  </si>
  <si>
    <t>Kommunalt bygnings- tilskud pr. barn pr. mdr.</t>
  </si>
  <si>
    <t>Min egen friskole</t>
  </si>
  <si>
    <t>Løn, undervisning inkl. feriepengeforpligtigelse</t>
  </si>
  <si>
    <t>Løn, rengøring og pedel inkl. Feriepengeforpligtigelse</t>
  </si>
  <si>
    <t>Løn, skolefritidsordning inkl. Feriepengeforpligtigelse</t>
  </si>
  <si>
    <t>Løn, heltidsskolefritidsordning inkl. Feriepengeforpligtigelse</t>
  </si>
  <si>
    <t>Lønudgifter daginstitution inkl. Feriepengeforpligtigelse</t>
  </si>
  <si>
    <t>Lønomk. Kostafdeling, kantine og skolemadsordning inkl. Fp.forpligtigelse</t>
  </si>
  <si>
    <t>Løn administrativt personale inkl. Feriepengeforpligtigelse</t>
  </si>
  <si>
    <t>2. elev</t>
  </si>
  <si>
    <t>1. elev</t>
  </si>
  <si>
    <t>7.</t>
  </si>
  <si>
    <t>8.</t>
  </si>
  <si>
    <t>OK18-tillæg</t>
  </si>
  <si>
    <t>Er Engangsvederlag og eller resultatløn pensionsgivende?</t>
  </si>
  <si>
    <t>Er Udligningstillæg Pensionsgivende?</t>
  </si>
  <si>
    <t>Pensionsordning</t>
  </si>
  <si>
    <t>Procentregulering (beregnet gennemsnit)</t>
  </si>
  <si>
    <t>Basisløngrundlag (v. 100% BG)</t>
  </si>
  <si>
    <t>Områdetillæg(Gives i område 3-6)</t>
  </si>
  <si>
    <t>Undervisningstillæg</t>
  </si>
  <si>
    <t>Årligt souscheftillæg i årligt grundbeløb(2012 niveau),
skriv 19.300.</t>
  </si>
  <si>
    <t>Engangsvederlag og eller resultatløn. Ikke afhængig af BG. Årligt grundbeløb(2012 niveau)</t>
  </si>
  <si>
    <t>Varigt kval.tillæg*), afhængig af BG,
årligt grundbeløb(2012 niveau) v. 100% BG</t>
  </si>
  <si>
    <t>Suppl. pension i LP JA/NEJ. Gælder kun ansatte i efterlønskassen</t>
  </si>
  <si>
    <t>Gruppeliv</t>
  </si>
  <si>
    <t>Løn excl. pension</t>
  </si>
  <si>
    <t>Pensionsgrundlag pr. måned (LP)</t>
  </si>
  <si>
    <t>Pensionstillæg (1/3 af pensionsindb. i alt) **)</t>
  </si>
  <si>
    <t>Løn incl. pensionstillæg pr. md.</t>
  </si>
  <si>
    <t>Indbetaling til Lærernes Pension **)</t>
  </si>
  <si>
    <t xml:space="preserve">Skalatrin </t>
  </si>
  <si>
    <t>Antal timer pr. mdr.(Kun for timelønnede)</t>
  </si>
  <si>
    <t>Pensionsprocent</t>
  </si>
  <si>
    <t>Betaler skolen egetbidraget til pensionen?</t>
  </si>
  <si>
    <t>Procentregulering. Gennemsnit for året.</t>
  </si>
  <si>
    <t>Tabelløn/md.</t>
  </si>
  <si>
    <t>Tabelløn x BG</t>
  </si>
  <si>
    <t>Månedligt tillæg, ikke pensionsg., ikke regul.</t>
  </si>
  <si>
    <t xml:space="preserve">Egetbidrag til pension eller pensionstillæg </t>
  </si>
  <si>
    <t>Nr.</t>
  </si>
  <si>
    <t>Bank</t>
  </si>
  <si>
    <t>ÆNDRINGER I FORHOLD TIL SIDSTE ÅRS BUDGET:</t>
  </si>
  <si>
    <t>VEJLEDNING GENERELT:</t>
  </si>
  <si>
    <t>Statstilskud: De indtastede oplysninger indtastet på "forsidearket" danner grundlag for statstilskuddet samt de forventede takster fra arket: "satsbilag". Tast selv forventede indtægter vedr. SPSU-tilskud(De gule felter)</t>
  </si>
  <si>
    <t>Funktionstillæg, ikke pensionsgivende, ikke afhængig af bg.
årligt grundbeløb(2012 niveau)</t>
  </si>
  <si>
    <t>kvalifikationstillæg, ikke pensionsgivende, ikke afh. af bg.
årligt grundbeløb(2012 niveau)</t>
  </si>
  <si>
    <t>resultatløn, ikke pensionsgivende, ikke afh. af bg.
årligt grundbeløb(2012 niveau)</t>
  </si>
  <si>
    <t>funktionstillæg, pensionsgivende, ikke afh. af bg.
årligt grundbeløb(2012 niveau)</t>
  </si>
  <si>
    <t>kvalifikationstillæg, pensionsgivende, afh. af bg.
Tast årligt grundbeløb(2012 niveau) v. 100% BG</t>
  </si>
  <si>
    <t>basisløntrin  - For skolens øverste leder tastes årligt grundbeløb i 12 kr. For skolens mellemledere vælges en basisløn afhængig af elevantal. For skolens lærere og bh.kl.ledere vælges den enkeltes basisløn afhængig af anciennitet. For timelønnede - skriv timelønnen i 12 kr.</t>
  </si>
  <si>
    <t>tabelløn x BG (for ledere: intervalløn)</t>
  </si>
  <si>
    <t>Varigt funktionsstillæg, ikke afh. af BG,
årligt grundbeløb(2012 niveau)</t>
  </si>
  <si>
    <t>Varigt kval.tillæg*), ikke afhængig af BG,
årligt grundbeløb (2012 niveau)</t>
  </si>
  <si>
    <t>Daginst. Leder</t>
  </si>
  <si>
    <t>Udligningstillæg, evt. pensionsgivende for lærere. For mellemledere er udligningstillæg beregnet i 2019 pensionsgivende.
årligt grundbeløb(2012 niveau) v. 100% BG</t>
  </si>
  <si>
    <t>Lønafhængige lønudgifter overført til fanen "administration"</t>
  </si>
  <si>
    <t>Pris</t>
  </si>
  <si>
    <t>Hvor mange forældrebetalte rater er der i et helt finansår:</t>
  </si>
  <si>
    <t>Hvor mange forældrebetalte rater er der i dette budgetår:</t>
  </si>
  <si>
    <t>Hvor mange rater giver kommunen tilskud til i dette budgetår:</t>
  </si>
  <si>
    <t>Hvor mange rater giver kommunen tilskud til i et helt finansår:</t>
  </si>
  <si>
    <t>UDGIFTER</t>
  </si>
  <si>
    <t>Kto.nr</t>
  </si>
  <si>
    <t>Kto. nr.</t>
  </si>
  <si>
    <t>Tilskud til hjælpemidler til elever med særlige behov.  (SPSU) Skriv som negativ beløb.</t>
  </si>
  <si>
    <t>løn incl. Pensionstillæg</t>
  </si>
  <si>
    <t>Samlet indbetaling til Pension</t>
  </si>
  <si>
    <t xml:space="preserve">Gruppeliv(Forenede gruppeliv - 130 kr.)
</t>
  </si>
  <si>
    <t>Weekendtimer. Timeforbruget for arbejde i weekender skal normalvis afspadseres i indeværende normperiode. Hvis der udarbejdes individuelle aftaler om udbetaling, skrives antal årlige hele timer for arbejde i weekend.  Arket beregner selv nettotimelønnen</t>
  </si>
  <si>
    <t>Weekendtillæg - 50%. Tillægget afspadseres normalt i indeværende normperiode. Hvis der udarbejdes individuelle aftaler om udbetaling, skrives antal årlige arbejdstimer der udløser weekendtillæg. Arket beregner selv 50% af nettotimelønnen.</t>
  </si>
  <si>
    <t>Bidrag til Fordelingssekretariatet</t>
  </si>
  <si>
    <t>Legetøj</t>
  </si>
  <si>
    <t>Lærer</t>
  </si>
  <si>
    <t>Pædagog</t>
  </si>
  <si>
    <t>Adm.</t>
  </si>
  <si>
    <t>Rengøring</t>
  </si>
  <si>
    <t>Kost</t>
  </si>
  <si>
    <t>Ikke-pensionsgivende flydende tillæg(beløb i 12,- kroner pr. 60 min. klokketime)</t>
  </si>
  <si>
    <t>Til daginst.fanen</t>
  </si>
  <si>
    <t xml:space="preserve">Renteindtægter (Fra fanen administration). </t>
  </si>
  <si>
    <t>Adm. I alt ovf. til daginstitution</t>
  </si>
  <si>
    <t>Renteudgifter til fanen daginst.</t>
  </si>
  <si>
    <t>Prioritetsrenter (Fra fanen administration).</t>
  </si>
  <si>
    <t>Renteudgifter (Fra fanen administration).</t>
  </si>
  <si>
    <t>Sekretær - tast selv daginstitutionens andel af lønudgiften til sekretær.</t>
  </si>
  <si>
    <t>Kostafdeling - tast selv daginstitutionens andel af lønudgiften til kostafdelingen.</t>
  </si>
  <si>
    <t>Kan undlades. Videreføres ikke til hovedskema.</t>
  </si>
  <si>
    <t>Kan undlades. Videreføres ikke til hovedskema</t>
  </si>
  <si>
    <t>Kvalifikationstillæg, ikke pensionsgivende, afh. af bg.
årligt grundbeløb(2012 niveau)</t>
  </si>
  <si>
    <t>Hvis der ønskes flere kolonner til lærere, kan der indsættes flere mellem viceleder og den sidste lærerkolonne. Prøv IKKE at indsætte EFTER den sidste kolonne! Kopier en af lærerkolonnerne og vælg herefter "indsæt kopierede celler".</t>
  </si>
  <si>
    <t>Lønrefusioner vedr. ledere, lærere og børnehaveklasseledere</t>
  </si>
  <si>
    <t>Skolen har normalt 100% feriepengeforpligtigelse. MEN er der tale om en ansat i flexjob er forpligtigelsen mindre. Oplys her skolens forpligtigelse. Er det en fleksjob ansat i den gl. Ordning før 2013 er refusionssatsen typisk 83% hvilket gør at skolen har en forpligtigelse på 17%. Er det en ansat i fleksjob efter 1. jan. 2013 er skolens forpligtigelse 50%.</t>
  </si>
  <si>
    <t>Tilskud til sygeundervisning(Fra fordelingssekretariatet) - se tilskudssatser FSKR</t>
  </si>
  <si>
    <t>Kommunalt tilskud til flex (For ansatte under den gamle flexjobordning) Check flexaftale</t>
  </si>
  <si>
    <t>Løsøre</t>
  </si>
  <si>
    <t>Renovation</t>
  </si>
  <si>
    <t>DSA</t>
  </si>
  <si>
    <t>UV-tillæg</t>
  </si>
  <si>
    <t>Basisløn</t>
  </si>
  <si>
    <t>Udligningstillæg</t>
  </si>
  <si>
    <t>Funktionstillæg</t>
  </si>
  <si>
    <t>Kvalifikationstillæg</t>
  </si>
  <si>
    <t>Særlig ferietillæg</t>
  </si>
  <si>
    <t>OK-08  tillæg</t>
  </si>
  <si>
    <t>OK-13  tillæg</t>
  </si>
  <si>
    <t>OK-18  tillæg</t>
  </si>
  <si>
    <t>SF</t>
  </si>
  <si>
    <t>Trin 4-tillæg</t>
  </si>
  <si>
    <t>Engangstillæg</t>
  </si>
  <si>
    <t>SPS-tillæg</t>
  </si>
  <si>
    <t>Lokal fast aftalt ulempe</t>
  </si>
  <si>
    <t>Ulempe godtg.</t>
  </si>
  <si>
    <t>Intervalløn</t>
  </si>
  <si>
    <t>Basisløn leder</t>
  </si>
  <si>
    <t>Timeløn</t>
  </si>
  <si>
    <t>Konto nummer:</t>
  </si>
  <si>
    <t>Intervalløn øverst leder</t>
  </si>
  <si>
    <t>Basisløn til mellemleder</t>
  </si>
  <si>
    <t>Funktionstillæg ledere</t>
  </si>
  <si>
    <t>Kvalifikationstillæg ledere</t>
  </si>
  <si>
    <t>Engangsvederlag ledere</t>
  </si>
  <si>
    <t>Udligningstillæg ledere</t>
  </si>
  <si>
    <t>Lærere og bh.kl.ledere</t>
  </si>
  <si>
    <t>OK-08</t>
  </si>
  <si>
    <t>OK-13</t>
  </si>
  <si>
    <t>OK-18</t>
  </si>
  <si>
    <t xml:space="preserve">Funktionstillæg  </t>
  </si>
  <si>
    <t xml:space="preserve">Kvalifikationstillæg  </t>
  </si>
  <si>
    <t>Trin-4 tillæg</t>
  </si>
  <si>
    <t xml:space="preserve">Udligningstillæg  </t>
  </si>
  <si>
    <t>Lokal aftalt ulempegodt.</t>
  </si>
  <si>
    <t>Ulempegodtgørelse</t>
  </si>
  <si>
    <t>Feriefridage - udbetaling</t>
  </si>
  <si>
    <t>Timelønede</t>
  </si>
  <si>
    <t>Konteringsforslag  ledere</t>
  </si>
  <si>
    <t>Konteringsforslag lærere</t>
  </si>
  <si>
    <t>Konteringsforslag alle ansatte</t>
  </si>
  <si>
    <t>Konteringsfoslag timelønnede</t>
  </si>
  <si>
    <t>Total lønudgift undervisning</t>
  </si>
  <si>
    <t>Afstemning til budget planlægning</t>
  </si>
  <si>
    <t>Feriepengeforpligtigelse betydning for drift</t>
  </si>
  <si>
    <t>Skalatrinsløn</t>
  </si>
  <si>
    <t>Lederløn</t>
  </si>
  <si>
    <t>Mdr. tillæg</t>
  </si>
  <si>
    <t>Særlige feriedage</t>
  </si>
  <si>
    <t>Resultatløn</t>
  </si>
  <si>
    <t>Sum</t>
  </si>
  <si>
    <t>Dif</t>
  </si>
  <si>
    <t>Ledertillæg</t>
  </si>
  <si>
    <t>Konteringsforslag SFO</t>
  </si>
  <si>
    <t>Skalaløn - leder</t>
  </si>
  <si>
    <t>Pædagogisk personale - skalatrinsløn</t>
  </si>
  <si>
    <t>Total lønudgift SFO</t>
  </si>
  <si>
    <t>Konteringsforslag Daginstitution</t>
  </si>
  <si>
    <t>Total lønudgift daginstitution</t>
  </si>
  <si>
    <t>Konteringsforslag Heltids-SFO</t>
  </si>
  <si>
    <t>Konteringsforslag Administration</t>
  </si>
  <si>
    <t>Konteringsforslag Ejendom</t>
  </si>
  <si>
    <t>Fælles vedr. ejendom</t>
  </si>
  <si>
    <t>Fælles vedr. administration</t>
  </si>
  <si>
    <t>Fælles vedr. daginstitution</t>
  </si>
  <si>
    <t>Fælles vedr. SFO</t>
  </si>
  <si>
    <t>Fælles vedr. Heltids-SFO</t>
  </si>
  <si>
    <t>Konteringsforslag kostafdeling</t>
  </si>
  <si>
    <t>Total lønudgift kostafdeling</t>
  </si>
  <si>
    <t>Total lønudgift Ejendom</t>
  </si>
  <si>
    <t>Total lønudgift administratiion</t>
  </si>
  <si>
    <t>Total lønudgift Heltids-SFO</t>
  </si>
  <si>
    <t>Lønkontering</t>
  </si>
  <si>
    <t>Ved siden af lønbudgettet for hhv. undervisere, Pædagoger/TAP personale er der mulighed for at få et overblik over de forskellige lønarter. Overblikket kan bruges til at kontere lønbudettet til skolens eget administrative program.</t>
  </si>
  <si>
    <t>Tillæg lin 19 - 31 i alt pr. måned
i aktuelt niveau</t>
  </si>
  <si>
    <t>Adminstrationsomkostninger</t>
  </si>
  <si>
    <t>Ferietillæg 1,5% optjent september-december 2021</t>
  </si>
  <si>
    <t>Skolens bidrag til ATP december 2021. (Kan også aflæses i september/oktober mdr.)</t>
  </si>
  <si>
    <t>Årlige tillæg (lin 23-27) omregnet til mdl tiillæg</t>
  </si>
  <si>
    <t>Tillæg BH.kl.</t>
  </si>
  <si>
    <t>OK-21 tillæg</t>
  </si>
  <si>
    <t>OK21 tillæg</t>
  </si>
  <si>
    <t>OK21-tillæg</t>
  </si>
  <si>
    <t>Kommunalt tilskud til undervisning / Flex(se refusionsats fra kommunen)</t>
  </si>
  <si>
    <t xml:space="preserve">Maj </t>
  </si>
  <si>
    <t>Sep.</t>
  </si>
  <si>
    <t>Jan.</t>
  </si>
  <si>
    <t>Feb.</t>
  </si>
  <si>
    <t>Mar.</t>
  </si>
  <si>
    <t>Apr.</t>
  </si>
  <si>
    <t>Jun.</t>
  </si>
  <si>
    <t>Aug.</t>
  </si>
  <si>
    <t>Nov.</t>
  </si>
  <si>
    <t>Okt.</t>
  </si>
  <si>
    <t>Dec</t>
  </si>
  <si>
    <t>Antal børn der opkræves på opdelt pr. måned</t>
  </si>
  <si>
    <t>Forældrebet. I alt</t>
  </si>
  <si>
    <t>Kommunalt tilskud i alt</t>
  </si>
  <si>
    <t>Indtægt i alt</t>
  </si>
  <si>
    <t xml:space="preserve">Vuggestue pris pr. rate. </t>
  </si>
  <si>
    <t>Andre forældrebetalte indtægter  i vuggestuen:</t>
  </si>
  <si>
    <t>Juli Kommunalbetalte børn</t>
  </si>
  <si>
    <t>Juli Forældrebetalte børn</t>
  </si>
  <si>
    <t>Indskoling</t>
  </si>
  <si>
    <t>Dansk</t>
  </si>
  <si>
    <t>Matematik</t>
  </si>
  <si>
    <t>Fysik/kemi-natur/teknik</t>
  </si>
  <si>
    <t>Geografi/biologi</t>
  </si>
  <si>
    <t>Hæfter, lim, mapper m.v.</t>
  </si>
  <si>
    <t>Krea</t>
  </si>
  <si>
    <t>Madlavning</t>
  </si>
  <si>
    <t>Skoleadministrationssystem</t>
  </si>
  <si>
    <t>DSA-løn</t>
  </si>
  <si>
    <t>Hjemmeside</t>
  </si>
  <si>
    <t>Øvrige adm. Udgifter</t>
  </si>
  <si>
    <t>Renteudgifter</t>
  </si>
  <si>
    <t>Arrangementer</t>
  </si>
  <si>
    <t>Kommunalt tilskud pr. barn</t>
  </si>
  <si>
    <t>Andre forældrebetalte indtægter Heltids SFO</t>
  </si>
  <si>
    <t>Øvrige indtæger vedr. Heltids SFO:</t>
  </si>
  <si>
    <t>INDTÆGTER HELTIDS SFO I ALT</t>
  </si>
  <si>
    <t>Konto-nummer</t>
  </si>
  <si>
    <t>Kontonr.</t>
  </si>
  <si>
    <t>Heltids SFO børn</t>
  </si>
  <si>
    <r>
      <t>Forældrebetaling børnehave</t>
    </r>
    <r>
      <rPr>
        <sz val="8"/>
        <rFont val="Arial"/>
        <family val="2"/>
      </rPr>
      <t>(Fra fanen daginstitution)</t>
    </r>
  </si>
  <si>
    <r>
      <t>Forældrebetaling vuggestue</t>
    </r>
    <r>
      <rPr>
        <sz val="8"/>
        <rFont val="Arial"/>
        <family val="2"/>
      </rPr>
      <t>(Fra fanen daginstitution)</t>
    </r>
  </si>
  <si>
    <r>
      <t>Forældrebetaling heltidsskolefritidsordning</t>
    </r>
    <r>
      <rPr>
        <sz val="8"/>
        <rFont val="Arial"/>
        <family val="2"/>
      </rPr>
      <t>(Fra fanen heltids SFO)</t>
    </r>
  </si>
  <si>
    <t>Andre forældrebetalte indtægter til hovedskema lin. 18-21</t>
  </si>
  <si>
    <t>Andre indtægter til hovedskema lin. 23-28</t>
  </si>
  <si>
    <t>SFO-penge i alt til hovedskema lin. 17</t>
  </si>
  <si>
    <t>Øvrige indtægter vedr. Heltids SFO i alt(Hovedskema linie 20)</t>
  </si>
  <si>
    <t>Øvrige indtægter vedr. Heltids SFO i alt(Hovedskema linie 28)</t>
  </si>
  <si>
    <t>Udgifter i alt(Hovedskema linie 42)</t>
  </si>
  <si>
    <t>Øvrige indtægter vedr. børnehaven i alt(Hovedskema linie 18)</t>
  </si>
  <si>
    <t>Øvrige indtægter vedr. børnehaven i alt(Hovedskema linie 28)</t>
  </si>
  <si>
    <t>Øvrige indtægter vedr. vuggestuen i alt(Hovedskema linie 19)</t>
  </si>
  <si>
    <t>Øvrige indtægter vedr. vuggestuen i alt(Hovedskema linie 28)</t>
  </si>
  <si>
    <t>Andre omkostninger vedr. dagtilbud - ovf. til hovedskemaet lin. 41</t>
  </si>
  <si>
    <t>Bygninger og arealer i alt til hovedskema lin. 50</t>
  </si>
  <si>
    <t>Øvrige omk, kurser, tjenesterejser, mm. til hovedskema lin. 51</t>
  </si>
  <si>
    <t>Afskrivninger vedr. ejendomsdrift til hovedskema lin. 52</t>
  </si>
  <si>
    <t>Omkostninger kostafd, kantinedrift og skolemad i alt. Hovedskema lin. 57</t>
  </si>
  <si>
    <t>SUM, Afskrivninger kostafdeling. Hovedskema lin. 58</t>
  </si>
  <si>
    <t>Pedel og rengøring - tast selv daginstitutionens andel af lønudgiften til pedel og rengøring</t>
  </si>
  <si>
    <t>Legeplads</t>
  </si>
  <si>
    <t>Ekstra ordinær vedligeholdelse</t>
  </si>
  <si>
    <t>Rep. Værktøj og maskiner</t>
  </si>
  <si>
    <t>Udsmykning</t>
  </si>
  <si>
    <t>Tilskud fra Fleksjobordningen(50% af lønudgiften)</t>
  </si>
  <si>
    <t>Fleksjobordningen(kun skolens ansatte) 50% af lønudgiften</t>
  </si>
  <si>
    <t>Øverste leder</t>
  </si>
  <si>
    <t>Øvrig leder</t>
  </si>
  <si>
    <t>Den nye ferielov er nu fuldt ud implementeret, hvilket gør feriepengeforpligtigelsen nemmere at udregne.</t>
  </si>
  <si>
    <r>
      <t xml:space="preserve">Kostafdeling og kantine. </t>
    </r>
    <r>
      <rPr>
        <b/>
        <sz val="12"/>
        <color rgb="FFFF0000"/>
        <rFont val="Courier"/>
        <family val="1"/>
      </rPr>
      <t>Pensionsprocenten stiger fra 14% til 14,5% fra 1. april 2022. Hver ansat har derfor min. 2 kolonner. En kolonne fra januar til marts og en kolonne fra april til december.</t>
    </r>
  </si>
  <si>
    <t>Feriepengeforpligtigelse</t>
  </si>
  <si>
    <t>SatsBilag: er et bilag hvor Friskolernes Hus har skrevet kendte og "ukendte" satser samt givet det bedste bud på fremskrivningsprocenter, som alle er nødevendige forudsætninger for at udarbejde et budget.</t>
  </si>
  <si>
    <t>Indtast elevtalsoplysningerne for såvel skolebørn, SFO, heltids SFO samt daginstitution øverst i hovedskemaet(de gule felter).</t>
  </si>
  <si>
    <t>Løn undervisning: Oplys her hvilke ledere, lærere/børnehaveklasseledere skolen forventer der er ansat på skolen i det kommende budgetår.  Hvilket løntrin/timeløn, pensionsform mm. Oplys også hvilke mdr. den enkelte er ansat. Skifter en ansat feks. basisløntrin i løbet af budgetåret, kan man lade læreren få to kolonner. En med feks basisløntrin 2 i 7 mdr., og med en stigning til basisløntrin 3 i de sidste 5 mdr. HUSK at ved lønrefusioner at skrive talene med et "minus" foran. Lønarket giver desuden mulighed for at vælge orlov, således der i en periode kun budgetteres med pension. De lønafhængige omkostninger (Samlet bidrag, ATP, Flex-bidrag mm udregner skemaet selv udfra årsværk og videreføres til fanen "administration").</t>
  </si>
  <si>
    <t>SPS timer eller timer til 2-sprogede. pr. uge(Hele klokketimer)</t>
  </si>
  <si>
    <t>Daginstitutionens resultat angivet i skolens årsrapport</t>
  </si>
  <si>
    <t>Undervisningstimer - skriv her det årlige antal undervisningstimer. OBS: Hvis ikke ansat et helt skoleår skal undervisningstimerne fra delnormperioden opregnes til et helt skoleår.</t>
  </si>
  <si>
    <t>Årligt TRIN 4-tillæg i årligt grundbeløb (2012 niveau)
v. 100% BG</t>
  </si>
  <si>
    <t>P25- eller bidrag til efterlønskassen</t>
  </si>
  <si>
    <t>Ja</t>
  </si>
  <si>
    <r>
      <t xml:space="preserve">(Indtast som et samlet beløb pr år) </t>
    </r>
    <r>
      <rPr>
        <sz val="12"/>
        <color rgb="FFFF0000"/>
        <rFont val="Helvetica"/>
        <family val="2"/>
      </rPr>
      <t xml:space="preserve">HUSK AT SKRIVE SOM NEGATIVE BELØB </t>
    </r>
  </si>
  <si>
    <r>
      <t xml:space="preserve">Feriepengeforpligtigelse  vedr. ledere, lærere og børnehaveklasseledere. </t>
    </r>
    <r>
      <rPr>
        <sz val="16"/>
        <color rgb="FFFF0000"/>
        <rFont val="Helvetica"/>
        <family val="2"/>
      </rPr>
      <t xml:space="preserve">OBS: Har en ansat mere end 1 lønkolonne(feks. pga. lønændring, orlov eller fratrædelse), skal skolen kun oplyse forpligtigelse i en kolonne. </t>
    </r>
  </si>
  <si>
    <t>Lønnet beskæftigelsesgrad. Ansat 100% skriv 1. Ansat 85% skriv 0,85</t>
  </si>
  <si>
    <t>Oplys her den oprindelige beskæftigelsesgrad der skal betales pension med. Udfyldes kun ved valg af seniordning eller kombineret forældreorlov og arbejde.</t>
  </si>
  <si>
    <t>Ekstra pension i tilfælde af at medarbejderen er på seniorordning eller er på kombineret arbejde og forældreorlov</t>
  </si>
  <si>
    <t>Pensionsgrundlag pr. mdr. ved brug af seniorordning eller kombineret forældreorlov/arb</t>
  </si>
  <si>
    <t>Ekstra bidrag til P25 eller efterlønskassen pga. brug af seniorordning eller kombineret arbejde/forældreorlov</t>
  </si>
  <si>
    <t xml:space="preserve">ORLOV FULD TID. Er den ansatte på barsel eller andet ulønnet med ret til fuld pension? vælg "Orlov". Der vil for denne periode ikke blive beregnet en lønudgift - kun pension </t>
  </si>
  <si>
    <t>Ledertillæg. Årligt grundbeløb kr. 4.500,-</t>
  </si>
  <si>
    <r>
      <t xml:space="preserve">Heltidsskolefritidsordning </t>
    </r>
    <r>
      <rPr>
        <b/>
        <sz val="12"/>
        <color rgb="FFFF0000"/>
        <rFont val="Courier"/>
        <family val="1"/>
      </rPr>
      <t xml:space="preserve"> </t>
    </r>
  </si>
  <si>
    <t>Administrativ personale</t>
  </si>
  <si>
    <t>Overenskomsttillæg til det pædagogiske personale (Undtaget afdelingsledere). Årligt grundbeløb kr. 2.000,-. Overenskomsttillæg til 3F trin 14(Årlig grundbeløb kr. 1.957,-). Trin 21 (Årlig grundbeløb kr. 2.000,-)</t>
  </si>
  <si>
    <t>Pedel og Rengøring</t>
  </si>
  <si>
    <t>Timelønnede pædagoger i skolen</t>
  </si>
  <si>
    <r>
      <t xml:space="preserve">Pædagogisk personale i skolen. </t>
    </r>
    <r>
      <rPr>
        <b/>
        <sz val="20"/>
        <color rgb="FFC00000"/>
        <rFont val="Courier"/>
        <family val="1"/>
      </rPr>
      <t>(OBS: kan kun ansættes til praktisk støtte)</t>
    </r>
  </si>
  <si>
    <r>
      <t xml:space="preserve">Mdr. lønnede pædagoger ansat i skolen </t>
    </r>
    <r>
      <rPr>
        <sz val="14"/>
        <color rgb="FFC00000"/>
        <rFont val="Courier"/>
        <family val="1"/>
      </rPr>
      <t>(KUN til praktisk støtte).</t>
    </r>
  </si>
  <si>
    <t>Er den ansatte på delvis orlov, hvor der betales delvis løn men fuld pension?</t>
  </si>
  <si>
    <t>ORLOV FULD TID. Er den ansatte på barsel eller andet ulønnet orlov med ret til fuld pension? vælg "Orlov" Budgettet vil da ikke beregne en lønudgift, men i stedet en pensionsudgift.</t>
  </si>
  <si>
    <r>
      <t xml:space="preserve">Lønrefusioner </t>
    </r>
    <r>
      <rPr>
        <sz val="9"/>
        <rFont val="Helvetica"/>
        <family val="2"/>
      </rPr>
      <t xml:space="preserve">(Indsæt Samlet beløb pr år) </t>
    </r>
    <r>
      <rPr>
        <sz val="9"/>
        <color rgb="FFFF0000"/>
        <rFont val="Helvetica"/>
        <family val="2"/>
      </rPr>
      <t>HUSK AT SKRIVE SOM NEGATIVE BELØB</t>
    </r>
  </si>
  <si>
    <r>
      <t xml:space="preserve">Feriepengeforpligtigelse  vedr. pædaoger, teknisk og adm. persoanle. </t>
    </r>
    <r>
      <rPr>
        <sz val="16"/>
        <color rgb="FFFF0000"/>
        <rFont val="Helvetica"/>
        <family val="2"/>
      </rPr>
      <t xml:space="preserve">OBS: Har en ansat mere end 1 lønkolonne(feks. pga. lønændring, orlov eller fratrædelse), skal skolen kun oplyse forpligtigelse i en kolonne. </t>
    </r>
  </si>
  <si>
    <t>Evt. ekstra pensionstillæg i forbindelse med delvis arbejde og orlov</t>
  </si>
  <si>
    <t>Konteringsforslag pædagogiske personale i skolen</t>
  </si>
  <si>
    <t>Fælles vedr. kostafdeling</t>
  </si>
  <si>
    <t>Fælles vedr. pædagogisk personale i skolen</t>
  </si>
  <si>
    <t>Total lønudgift pædagogisk personale i skolen</t>
  </si>
  <si>
    <t>Lokalaftalt fast godtgørelse - oplyses i "nu" kr. pr. mdr.(Kan være lokalaftale ulempetillæg eller lejrskoletillæg omregnet til mdr. beløb.</t>
  </si>
  <si>
    <t>Lejrskoletillæg på hverdage. Kr. 163,64 (pr. 31. marts 2012) pr. påbegyndt dag. Oplys antal lejrskoledage på hverdage</t>
  </si>
  <si>
    <t>Lejrskoletillæg på weekenddage. Kr. 372,20 (pr. 31. marts 2012) pr. påbegyndt dag. Oplys antal lejrskoledage i week.</t>
  </si>
  <si>
    <t xml:space="preserve">Ændringer  </t>
  </si>
  <si>
    <t xml:space="preserve">Ændring </t>
  </si>
  <si>
    <t>Ændring i feriepengeforpligtigelse undervisning</t>
  </si>
  <si>
    <t>Ændring i feriepengeforpligtigelse ejendom</t>
  </si>
  <si>
    <t>Ændring i feriepengeforpligtigelse kostafd.</t>
  </si>
  <si>
    <t>Ændring i feriepengeforpligtigelse administration</t>
  </si>
  <si>
    <t>Ændring i feriepengeforpligtigelse heltidsskolefritidsordning</t>
  </si>
  <si>
    <t>AFSKRIVNINGER</t>
  </si>
  <si>
    <r>
      <t>Samlet betaling pr. fuldtidsansat</t>
    </r>
    <r>
      <rPr>
        <sz val="8"/>
        <color theme="1"/>
        <rFont val="Arial"/>
        <family val="2"/>
      </rPr>
      <t xml:space="preserve"> </t>
    </r>
    <r>
      <rPr>
        <sz val="6"/>
        <color theme="1"/>
        <rFont val="Arial"/>
        <family val="2"/>
      </rPr>
      <t>(AUB, AES, AFU, FERIEKONTO, FIB, Lønmodtagernes Garantifond, lærerplads AUB).</t>
    </r>
  </si>
  <si>
    <t>Buskørsel</t>
  </si>
  <si>
    <t>Skoleintra</t>
  </si>
  <si>
    <t>Skolefrugt</t>
  </si>
  <si>
    <t>Diverse</t>
  </si>
  <si>
    <t>Nykredit</t>
  </si>
  <si>
    <t>Gældsbrev</t>
  </si>
  <si>
    <t>SUM, Afskrivninger administration itil hovedskema lin. 64</t>
  </si>
  <si>
    <t>Oplys her den oprindelige beskæftigelsesgrad der skal betales pension med. Udfyldes kun ved kombineret forældreorlov og arbejde.</t>
  </si>
  <si>
    <t>SFO-tilskud pr. barn 2024 - forventer uændret takst</t>
  </si>
  <si>
    <t>SFO-tilskud pr. barn 2023</t>
  </si>
  <si>
    <t>Digitalisering</t>
  </si>
  <si>
    <t>Supplerende oplysninger:</t>
  </si>
  <si>
    <t>Indtast regnskabet fra skolens revisor vedr. sidste år i hovedskemaet. Bruges som sammenligningstal.</t>
  </si>
  <si>
    <t>Diæter - Time og dagpenge. Udbetales ved tjeneste ud over 24 timer. Budgettal = årlig værdi i nutidskroner.</t>
  </si>
  <si>
    <t>Diæter - Time og dagpenge. Udbetales ved tjeneste mere end 24 timer. Budgettal = årlig værdi i nutidskroner.</t>
  </si>
  <si>
    <t>Diæter - Time og dagpenge</t>
  </si>
  <si>
    <t>Diæter</t>
  </si>
  <si>
    <t>Seniorbonus</t>
  </si>
  <si>
    <t>Timedagpenge</t>
  </si>
  <si>
    <t>Klub fra 4. klasse og opefter</t>
  </si>
  <si>
    <t>Klubbetaling 4. klasse og opefter</t>
  </si>
  <si>
    <t>Kommunale tilskud klub fra 4. klasse og opefter</t>
  </si>
  <si>
    <t>SFO og Klub</t>
  </si>
  <si>
    <t>Mdr. lønnede i skolens SFO og klub</t>
  </si>
  <si>
    <t>Timelønnede pædagoger i SFO og klub</t>
  </si>
  <si>
    <t>Kommunale tilskud til klub (4. klasse og opefter)</t>
  </si>
  <si>
    <t>Kommunale tilskud til SFO (0. - 3. klasse)</t>
  </si>
  <si>
    <t>Kontingent til Fordelingssekretariatet (skønnet)</t>
  </si>
  <si>
    <t>Indtast skolens reviderede regnskab</t>
  </si>
  <si>
    <t>Indtast forventet resultat!</t>
  </si>
  <si>
    <t>BEREGNING AF STATSTILSKUD</t>
  </si>
  <si>
    <t>9.</t>
  </si>
  <si>
    <t>10.</t>
  </si>
  <si>
    <r>
      <t xml:space="preserve">Kommunale tilskud, børnehave </t>
    </r>
    <r>
      <rPr>
        <sz val="6"/>
        <rFont val="Arial"/>
        <family val="2"/>
      </rPr>
      <t>(fra fanen daginstitution)</t>
    </r>
  </si>
  <si>
    <r>
      <t xml:space="preserve">Kommunale tilskud, vuggestue </t>
    </r>
    <r>
      <rPr>
        <sz val="6"/>
        <rFont val="Arial"/>
        <family val="2"/>
      </rPr>
      <t>(fra fanen daginstitution)</t>
    </r>
  </si>
  <si>
    <r>
      <t xml:space="preserve">Kommunale tilskud heltidsskolefritidsordning </t>
    </r>
    <r>
      <rPr>
        <sz val="6"/>
        <rFont val="Arial"/>
        <family val="2"/>
      </rPr>
      <t>(Fra fanen heltids SFO)</t>
    </r>
  </si>
  <si>
    <r>
      <t xml:space="preserve">Øvrige indtægter vedr. børnehaven </t>
    </r>
    <r>
      <rPr>
        <sz val="6"/>
        <rFont val="Arial"/>
        <family val="2"/>
      </rPr>
      <t>(fra fanen daginstitution)</t>
    </r>
  </si>
  <si>
    <r>
      <t xml:space="preserve">Øvrige indtægter vedr. vuggestuen </t>
    </r>
    <r>
      <rPr>
        <sz val="6"/>
        <rFont val="Arial"/>
        <family val="2"/>
      </rPr>
      <t>(fra fanen daginstitution)</t>
    </r>
  </si>
  <si>
    <r>
      <t>Øvrige indtægter vedr. heltidsskolefritidsordning (</t>
    </r>
    <r>
      <rPr>
        <sz val="6"/>
        <rFont val="Arial"/>
        <family val="2"/>
      </rPr>
      <t>Fra fanen heltids SFO)</t>
    </r>
  </si>
  <si>
    <r>
      <t xml:space="preserve">Evt. SPS-tilskud  med tilbagevirkende kraft </t>
    </r>
    <r>
      <rPr>
        <sz val="8"/>
        <rFont val="Arial"/>
        <family val="2"/>
      </rPr>
      <t>(Kun for skoler uden beregningsgrundlag)</t>
    </r>
  </si>
  <si>
    <t>SENIORORDNING 175 TIMER. Er den ansatte på seniorordning med ret til op til 175 nedsat arbejdstid men med fuld pension eller afholdes der delvis forældreorlov med nedsat løn men med fuld pension</t>
  </si>
  <si>
    <t xml:space="preserve">Ferieberettiget løn pr. 31. december 2023. DET ER VIGTIGT DER OPLYSES EN HEL MÅNEDS LØN. (hvis ikke der sker ændring i lønnen kan lønnen aflæses allerede i september/oktober mdr.) </t>
  </si>
  <si>
    <t>100% pensionsindbetaling pr. 31. december 2023. DET ER VIGTIGT PENSIONSINDBETALINGEN VEDR. EN HEL MÅNEDS INDBETALING. (Hvis ikke der sker ændring i lønnen kan pensionsindbetalingen aflæses allerede i september/oktober mdr.)</t>
  </si>
  <si>
    <t>Seniorbonus 0,8% af sidste årsløn - gældende for ansatte der året før budget var 62 år. Oplys det beløb der udbetales januar 2024 vedr. 2023. Nyt cirkulære gældende pr. 1. januar 2024 hvorefter seniorbonus udb. Hver mdr. Oplys herom i række 13 og 14.</t>
  </si>
  <si>
    <t>Seniorbonus - skal slettes i budget 25-26 da vi her udelukkende kører på mdr. vis udbetaling af seniorbonus række 13 og 14</t>
  </si>
  <si>
    <t>Ny seniorbonusordning - dette tal bruges til år 2 i budgettet og regner hvis nej i år 1 og ja i år 2</t>
  </si>
  <si>
    <t>Storebededagstillæg udgør 0,45% af fastpåregnelig løn inkl. pension. Den giver ret til supplerende pension i efterlønskassen</t>
  </si>
  <si>
    <t>Storebededagstillæg</t>
  </si>
  <si>
    <t>St. Bededagstillæg</t>
  </si>
  <si>
    <t xml:space="preserve">Tilskud pr. time a 60 min. til Personlig assistance. (2023 taksten fra SPSU) </t>
  </si>
  <si>
    <t>Tilskud pr. lektion a 45 min. for undervisning i dansk for tosprogede (2023 taksten fra FSKR)</t>
  </si>
  <si>
    <t>St. Bededagstillæg. Har den ansatte ret til St. Bededagstillæg - VÆLG Ja - ellers nej.</t>
  </si>
  <si>
    <t>Seniorbonusordning</t>
  </si>
  <si>
    <t>Forside</t>
  </si>
  <si>
    <t>Check her:</t>
  </si>
  <si>
    <t xml:space="preserve">At skolen har oplyst stedtillægget i celle "H12" </t>
  </si>
  <si>
    <t>Række 33 -  hvis skolen har elever over 13 år. Check skolen har oplyst antal over 13 år. Gælder alle årene.</t>
  </si>
  <si>
    <t>Række 36 - Har skolen SPS-elever, oplyses her antal for alle årene.</t>
  </si>
  <si>
    <t>Række 38 - Har skolen SFO-elever check at de er oplyst i række 38 for alle årene.</t>
  </si>
  <si>
    <t>Række 39 - Har skolen Klub-elever check at de er oplyst i række 39 for alle årene</t>
  </si>
  <si>
    <t>Hovedskemaet</t>
  </si>
  <si>
    <t>Skolepenge</t>
  </si>
  <si>
    <t>Løn undervisning</t>
  </si>
  <si>
    <t>Orlov oplyses i række 11</t>
  </si>
  <si>
    <t>Beskæftigelsesgraden oplyses i række 18.</t>
  </si>
  <si>
    <t>Skolens decentrale løn/ny løn oplyses i række 26 - 31. Husk at der ALTID oplyses i årlig grundbeløb.</t>
  </si>
  <si>
    <t>Udbetaler skolen ulempetillæg og weekendtillæg + evt. weekendtimer oplyses disse timer som årlige planlagte timer i række 55-57.</t>
  </si>
  <si>
    <t>Er der planlagt lejrtur og skolen betaler lejrskoletillæg efter arbejdstidsreglerne oplyses antal dage lejrskolen er på hverdage i række 58 og i weekender i række 59. Hver påbegyndt dag tæller for en dag.</t>
  </si>
  <si>
    <t>Udbetales der diæter oplyses dette i række 62.</t>
  </si>
  <si>
    <t>Særlige feriedage der udbetales, eller særlige feriedage og feriedage der afregnes ved fratræden oplyses i række 65</t>
  </si>
  <si>
    <t>Refusioner</t>
  </si>
  <si>
    <t>Feriepenge forpligtigelse</t>
  </si>
  <si>
    <t>Vikarer</t>
  </si>
  <si>
    <t>Løn pæd., TAP mm</t>
  </si>
  <si>
    <t>Da ikke alle skoler har tiltrådt overenskomst indenfor det pædagogiske, tekniske og administrative personale skal skolen selv oplyse alt.</t>
  </si>
  <si>
    <t>Skalatrinsløn oplyses i række 7.</t>
  </si>
  <si>
    <t>Storebededagstillæg. Hvis ikke den ansatte har fået ændret sin arbejdstid pga. at St. Bededag ikke længere er en helligdag skal skolen i række 15 vælge nej.</t>
  </si>
  <si>
    <t>Pensionsprocent oplyses i række 20.</t>
  </si>
  <si>
    <t>Beskæftigelsesgrad oplyses i række 24.</t>
  </si>
  <si>
    <t>Decentrale løntillæg oplyses i række 30-36. Tillæggene oplyses altid i årligt grundbeløb.</t>
  </si>
  <si>
    <t>I række 38 og 39 er det muligt at oplyse månedlige tillæg der ikke reguleres med reguleringsprocenten og ikke er pensionsgivende.</t>
  </si>
  <si>
    <t>Gruppelivsbetaling oplyses i række 40.</t>
  </si>
  <si>
    <t>Diæter tastes i årlig nutidsværdi i række 49.</t>
  </si>
  <si>
    <t>Heltids-SFO, før-SFO, forårs-SFO tastes i fanen "Heltids-SFO". Tast elevtal pr. mdr., forældrebetaling, evt. kommunalt tilskud og øvrige indtægter og udgifter.</t>
  </si>
  <si>
    <t>Driftsudgiftsfanerne: Undervisning/SFO, Ejendom, skolemadsordning og administration.</t>
  </si>
  <si>
    <t>Prioritetsrenter og afdrag oplyses i fanen "Prio" renter.</t>
  </si>
  <si>
    <t>SLUT</t>
  </si>
  <si>
    <t>Gode råd til check.</t>
  </si>
  <si>
    <t>(175 timers regel). Er den ansatte fyldt 60 år og ønsker at gøre brug af seniorordning med nedgang i arbejdstid og løn op til 175 timer, oplyses dette i række 12.</t>
  </si>
  <si>
    <t>Pensionsordning. Er den ansatte omfattet af anden pensionsordning end lærernes pension oplyses dette i række 15.</t>
  </si>
  <si>
    <t>Undervisningstimer. De årlige planlagte undervisningstimer oplyses i række 20. Husk her at undervisningstimerne altid skal være beregnet på et helt skoleår. Har den ansatte 2 kolonner eller flere pga. skiftende bg., eller andet oplyses undervisningstillæg i alle kolonner. Er den ansatte både ansat som lærer og som børnehaveklasseleder oplyses det samlede årlige undervisningstimetal i den stilling hvor den ansatte har sin hovedbeskæftigelse, mens der i den anden står 0.</t>
  </si>
  <si>
    <t>Souschef. Har skolen en souschef oplyses souscheftillægget i række 25.</t>
  </si>
  <si>
    <t>Udligningstillæg. Lærere ansat i 2004 og øvrige ledere ansat før 1. januar 2019 kan have sig et personligt udligningstillæg. Dette tillæg oplyses i række 32 og oplyses i årligt grundbeløb.</t>
  </si>
  <si>
    <t>Trin 4-tillæg. Lærere der var ansat pr. 31. marts og som på daværende tidspunkt have 12 års anciennitet kan have fået beregnet et personligt og varigt trin 4 tillæg. Dette tillæg oplyses i række 33 og oplyses i årligt grundbeløb.</t>
  </si>
  <si>
    <t>SPS-tillæg. Modtager skolen SPS-tilskud, er der også lærere der skal have SPS-tillæg. De timer læreren skal have SPS-tillæg oplyses i række 41.</t>
  </si>
  <si>
    <t>Orlov fuldtid. Er den ansatte på orlov fuldtid oplyses dette i række 16.</t>
  </si>
  <si>
    <t>Delvis orlov. Er den ansatte på delvis orlov, men med fuld pension oplyses dette i række 17.</t>
  </si>
  <si>
    <t>Daginstitutioner</t>
  </si>
  <si>
    <t xml:space="preserve">Heltids-SFO </t>
  </si>
  <si>
    <t>Række 31 - at elevtallet stemmer til 5. september indberetning og de fremadrettede budgetterede elevtal.</t>
  </si>
  <si>
    <t>Udover ændrede satser i satsbilaget, byder budgetåret 2024 på følgende ændringer.</t>
  </si>
  <si>
    <t xml:space="preserve">Løn faner:  </t>
  </si>
  <si>
    <r>
      <rPr>
        <b/>
        <sz val="12"/>
        <rFont val="Arial"/>
        <family val="2"/>
      </rPr>
      <t xml:space="preserve">Seniorbonusordning: </t>
    </r>
    <r>
      <rPr>
        <sz val="12"/>
        <rFont val="Arial"/>
        <family val="2"/>
      </rPr>
      <t>Fra og med 1. januar 2024 træder et nyt cirkulære om seniorbonus i kraft. Seniorbonus skal herefter udbetales til ansatte der er fyldt eller fylder 62 år i kalenderåret. Seniorbonus udgør 0,8% og skal betales sammen med den sædvanlige månedsløn. Seniorbonus er pensionsberettiget. Skolens ledere, lærere, ansatte under 3F eller Hk overenskomst har i overenskomsterne aftalt ret til seniorbonus. (BEMÆRK ansatte hvortil skolen har tiltrådt BUPL/FOA overenskomst ikke har aftalt denne ret). I lærernes lønfane række 13 og 14 oplyses hvorvidt den ansatte er fyldt 62 år eller ikke. I lønfanen for det pædagogiske, tekniske og administrative personale oplyses retten til seniorbonus i række 18 og 19. De ansatte der har ret til seniorbonus og i 2023 er eller fylder 62 år, skal have seniorbonus for optjeningsåret 2023 udbetalt med januar måneds løn. Derfor er der i lærernes lønfane række 61 mulighed for at oplyse det der forventes at blive udbetalt. For det pædagogiske, tekniske og administratives personale oplyses beløbet i række 48.</t>
    </r>
  </si>
  <si>
    <t>Under selve lønbudgettet i de to "løn-faner", skal skolen oplyse antallet af skyldige feriedage og særlige feriedage pr. 31. december 2023, 2024 og 2025. Er der ikke tale om nyansættelse eller erstatningsferie vil tallene de 3 år alt andet lige være ens. Vær dog særlig opmærksom på langtidssyge og ansatte på barselsorlov der har ret til erstatningsferie og som et enkelt år derfor kan have flere skyldige feriedage og særlige feriedage end normalt. Budgetarket udregner skolens feriepengeforpligtigelse ud fra antallet af skyldige feriedage og særlige feriedage.</t>
  </si>
  <si>
    <r>
      <t xml:space="preserve">Ferietillæg: </t>
    </r>
    <r>
      <rPr>
        <sz val="12"/>
        <rFont val="Arial"/>
        <family val="2"/>
      </rPr>
      <t>Skolen udbetaler særlig ferietillæg på 1,5% ultimo maj og ultimo august 2024. I lønfanen for lærer/bh.kl.ledere række 63 og i lønfanen for pæd/TAP række 50 oplyses hvor mange måneder den ansatte har været ansat i perioden 1. september 2023 til 31. august 2024. Ud fra antallet af måneder beregner budgettet et budget vedr. det særlige ferietillæg.</t>
    </r>
  </si>
  <si>
    <r>
      <t xml:space="preserve">Særlige feriedage: </t>
    </r>
    <r>
      <rPr>
        <sz val="12"/>
        <rFont val="Arial"/>
        <family val="2"/>
      </rPr>
      <t>Udbetaler skolen særlige feriedage d. 30. april 2024(optjent i finansåret 2022 og som ikke er afviklet i perioden 1. maj 2023 - 30. april 2024) oplyses antallet af særlige feriedage der udbetales pr. 30. april 2024. For lærer/bh.kl.ledere oplyses de udbetalte dage i række 65. For pæd/TAP oplyses de udbetalte dage i række 52. Budgetarket udregner herefter et budgettal på de særlige feriedage.</t>
    </r>
  </si>
  <si>
    <r>
      <t xml:space="preserve">St. bededagstillæg: </t>
    </r>
    <r>
      <rPr>
        <sz val="12"/>
        <rFont val="Arial"/>
        <family val="2"/>
      </rPr>
      <t>Til ansatte der får forhøjet sin årsnorm pga. at St. bededag er afskaffet som en helligdag, udbetales der fra 1. januar et St. bededagstillæg svarende til 0,45% af den ansattes fastpåregnelige løn inkl. pension. St. bededagstillæg udbetales enten hver måned eller ultimo maj og ultimo august. Alle ledere og lærere er omfattet af organisationsaftalen og tillægget beregnes automatisk i budgetarkets totale lønsum pr. medarbejder. For skolens pædagogiske, tekniske og administrative ansatte forhøjes arbejdstiden ligeledes for de ansatte hvortil skolen har tiltrådt BUPL/FOA, 3F eller HK overenskomst. Har skolen ikke tiltrådt overenskomst, og den ansatte er ansat med en fast årsnorm forhøjes arbejdstiden ikke og St. bededagstillægget skal ikke udbetales. I lønfanen vedr. det pædagogiske, tekniske og administrative personale skal skolen aktiv vælge "Nej" hvis ikke arbejdstiden forhøjes og St. bededagstillæg ikke skal betales. Dette gøres i række: 15.</t>
    </r>
  </si>
  <si>
    <t>Indtast det forventede resultat for 2023 i hovedskemaet. Det forventede resultat er IKKE budgettet for 2023 men de tal skolen forventer året vil slutte med. Her i efteråret er der bogført 8, 9 - måske 10 måneder og det er sidste kendte saldobalance + forventede kommende indtægter og udgifter for de sidste måneder af året der sammen giver et forventet resultat. Altså skolens mest realistiske bud. Tallene bruges som sammenligningstal til budgettet for 2024 og 2025.</t>
  </si>
  <si>
    <t>Forside: Indtast skolens navn, skolens stedtillægsområde, om skolen er godkendt som profilskole samt elevoplysningerne pr. 5. september for 2022, 2023 samt forventet 2024 og 2025.</t>
  </si>
  <si>
    <t>Tast de forventede tal vedr undervisningsudgifter, bygninger, administration, skolemadsudgifter, daginstitution, prioritetsrenter. Tallene vedr. budget 2024 videreføres til hovedskemaet. (Det gør tallene vedr. 2023 ikke)! Der står i forvejen forslag til udgiftsposter. Dette er kun forslag, og overskrives så det stemmer overens med skolens egne konti. I fanen "Ejendom" og "Adm" er der mulighed for at videreføre udgifter til skolens budget for daginstitutionen. Dette da skoler med daginstitution SKAL udarbejde et budget for daginstitutionen, og for at budgettet for daginstitutionen er mest retvisende skal ejendom og administrationsudgifter med. Overførslen sker med en procentsats. Denne procentsats kan være beregnet på antal børn/elever eller m2 fordeling.</t>
  </si>
  <si>
    <t>Tilskud fra barsel.dk(Ansatte i skolens daginstitution) kr. 86,19</t>
  </si>
  <si>
    <t>Tilskud fra Fleksbarsel BEMÆRK KUN SKOLENS ANSATTE kr. 80,- pr. lønnet 100% orlovstime</t>
  </si>
  <si>
    <t>Dagpengerefusioner kr. 123,10 pr. lønnet 100% orlovstime</t>
  </si>
  <si>
    <t>Tilskud fra Fleksbarsel(kr. 80,- pr. lønnet 100% orlovstime)</t>
  </si>
  <si>
    <t>Tilskud fra Fordelingssekretariatet(Sygdom 243,-/120,- Barsel 31,- Pr. lønnet 100% orlovstime)</t>
  </si>
  <si>
    <t>Dagpengerefusioner (kr. 123,10 pr. lønnet 100% orlovstime)</t>
  </si>
  <si>
    <r>
      <t xml:space="preserve">Tilskud fra Fordelingssekretariatet. </t>
    </r>
    <r>
      <rPr>
        <sz val="9"/>
        <rFont val="Helvetica"/>
        <family val="2"/>
      </rPr>
      <t xml:space="preserve">BEMÆRK KUN SKOLENS ANSATTE </t>
    </r>
    <r>
      <rPr>
        <sz val="8"/>
        <rFont val="Helvetica"/>
        <family val="2"/>
      </rPr>
      <t>(sygdom 212,- de første 30 dage. Herefter 89,-).</t>
    </r>
  </si>
  <si>
    <t>Depositum der senere skal tilbagebetales</t>
  </si>
  <si>
    <t>Konto nr.</t>
  </si>
  <si>
    <t>Depositum</t>
  </si>
  <si>
    <t>Kontonummer:</t>
  </si>
  <si>
    <t>Antal børn der opkræves opdelt pr. måned</t>
  </si>
  <si>
    <t xml:space="preserve">Denne fane er en opsummering på hvilke oplysninger der er vigtigt at huske i sit budgetarbejde. Vi anbefaler at skolen printer denne side og forholder sig til den enten under budgetarbejdet og/eller efterfølgende. </t>
  </si>
  <si>
    <t>Vises der en rød tekst i række 29, 62 og 87 stemmer antal opkrævede elever ikke med 5. september tallene. Har skolen indskrevet/udskrevet elever efter 5. september vil der begrundet vises den røde tekst.den røde tekst. Ellers check en ekstra gang op på enten elevtal på forsiden eller elevopkrævning i skolepenge, SFO og klub.</t>
  </si>
  <si>
    <t>Seniorbonusordning (udfases). For ansatte der i 2023 var fyldt 62 år optjenes seniorbonus. Denne bonus skal udbetales januar 2024. Tast udbetalingsbeløbet i række 61. Beløbet  består af 0,8% af de fastpåregnelige løndele og pension optjent 2023. Denne gamle ordning er derefter udfaset og erstattes af seniorbonusordningen i række 13 og 14.</t>
  </si>
  <si>
    <t>Har skolen udgifter til vikarer, skal skolen huske at budgettere med en udgift hertil enten med en månedslønnet budgettal eller som timelønnet.</t>
  </si>
  <si>
    <t>Egetbidrag pension. Betaler skolen ikke den ansattes egetbidrag af pension vælges der nej i række 21.</t>
  </si>
  <si>
    <t>Daginstitiutionsoplysninger tastes i fanen "daginstitution" Tast børnetal pr. mdr., forældrebetaling, kommunalt tilskud og øvrige indtægter og udgifter. VIGTIGT: oplys antal mdr. i budgetåret og antal mdr. for et helt finansår øverst, både hvad angår forældrebetaling og tilskud fra kommunen. Gælder både ved børnehaven og ved vuggestuen. Hvis det er en nystartet institution der starter op i budgetåret vil de to tal måske hedde 5 mdr. fra august - december men 11 eller 12 måneder i et helt finansår. Er det en ikke ny institution skal der stå 11 eller 12 måneder i såvel budgetår som et helt finansår.</t>
  </si>
  <si>
    <r>
      <rPr>
        <b/>
        <sz val="12"/>
        <rFont val="Arial"/>
        <family val="2"/>
      </rPr>
      <t>"Gode råd til check".</t>
    </r>
    <r>
      <rPr>
        <sz val="12"/>
        <rFont val="Arial"/>
        <family val="2"/>
      </rPr>
      <t xml:space="preserve"> Som noget nyt er der nu en fane der beskriver "gode råd til check". Print fanen og forhold dig til de gode råd under budgetarbejdet eller kontroler efter budgetudarbejdelsen om skolen har husket alt.</t>
    </r>
  </si>
  <si>
    <t>Øvrige indtægter vedr. Vuggestuen:</t>
  </si>
  <si>
    <t>Øvrige indtægter vedr. børnehaven: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</si>
</sst>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quot;kr&quot;_-;\-* #,##0.00\ &quot;kr&quot;_-;_-* &quot;-&quot;??\ &quot;kr&quot;_-;_-@_-"/>
    <numFmt numFmtId="165" formatCode="_-* #,##0.00\ _k_r_-;\-* #,##0.00\ _k_r_-;_-* &quot;-&quot;??\ _k_r_-;_-@_-"/>
    <numFmt numFmtId="166" formatCode="_-* #,##0_-;\-* #,##0_-;_-* \-_-;_-@_-"/>
    <numFmt numFmtId="167" formatCode="_-* #,##0.00_-;\-* #,##0.00_-;_-* \-??_-;_-@_-"/>
    <numFmt numFmtId="168" formatCode="&quot;kr.&quot;#,##0;[Red]&quot;-kr.&quot;#,##0"/>
    <numFmt numFmtId="169" formatCode="#,##0.0"/>
    <numFmt numFmtId="170" formatCode="#,##0.0000"/>
    <numFmt numFmtId="171" formatCode="#,##0.00&quot;kr.&quot;;\-#,##0.00&quot;kr.&quot;"/>
    <numFmt numFmtId="172" formatCode="0.0%"/>
    <numFmt numFmtId="173" formatCode="000\-000"/>
    <numFmt numFmtId="174" formatCode="mm/yy"/>
    <numFmt numFmtId="175" formatCode="d\.m\.yy"/>
    <numFmt numFmtId="176" formatCode="#,##0.000000"/>
    <numFmt numFmtId="177" formatCode="d\.\ mmm\.\ yyyy"/>
    <numFmt numFmtId="178" formatCode="_-* #,##0.00_k_r_._-;\-* #,##0.00_k_r_._-;_-* &quot;-&quot;??_k_r_._-;_-@_-"/>
    <numFmt numFmtId="179" formatCode="_(* #,##0_);_(* \(#,##0\);_(* &quot;-&quot;_);_(@_)"/>
    <numFmt numFmtId="180" formatCode="_-&quot;kr.&quot;* #,##0.00_-;\-&quot;kr.&quot;* #,##0.00_-;_-&quot;kr.&quot;* &quot;-&quot;??_-;_-@_-"/>
    <numFmt numFmtId="181" formatCode="_ &quot;kr&quot;\ * #,##0_ ;_ &quot;kr&quot;\ * \-#,##0_ ;_ &quot;kr&quot;\ * &quot;-&quot;??_ ;_ @_ "/>
    <numFmt numFmtId="182" formatCode="#,##0_ ;[Red]\-#,##0\ "/>
    <numFmt numFmtId="183" formatCode="0.000000"/>
  </numFmts>
  <fonts count="185">
    <font>
      <sz val="10"/>
      <name val="Arial"/>
    </font>
    <font>
      <sz val="12"/>
      <color theme="1"/>
      <name val="Calibri"/>
      <family val="2"/>
      <scheme val="minor"/>
    </font>
    <font>
      <b/>
      <sz val="10"/>
      <name val="Arial"/>
      <family val="2"/>
    </font>
    <font>
      <sz val="10"/>
      <name val="Arial"/>
      <family val="2"/>
    </font>
    <font>
      <sz val="12"/>
      <name val="Arial"/>
      <family val="2"/>
    </font>
    <font>
      <sz val="14"/>
      <name val="Arial"/>
      <family val="2"/>
    </font>
    <font>
      <sz val="9"/>
      <name val="Arial"/>
      <family val="2"/>
    </font>
    <font>
      <sz val="12"/>
      <name val="System"/>
      <family val="2"/>
    </font>
    <font>
      <sz val="10"/>
      <name val="Courier New"/>
      <family val="3"/>
    </font>
    <font>
      <u/>
      <sz val="10"/>
      <color indexed="20"/>
      <name val="Arial"/>
      <family val="2"/>
    </font>
    <font>
      <u/>
      <sz val="10"/>
      <color indexed="31"/>
      <name val="Arial"/>
      <family val="2"/>
    </font>
    <font>
      <sz val="10"/>
      <name val="Geneva"/>
      <family val="2"/>
    </font>
    <font>
      <sz val="56"/>
      <name val="Arial"/>
      <family val="2"/>
    </font>
    <font>
      <sz val="10"/>
      <color indexed="18"/>
      <name val="Arial"/>
      <family val="2"/>
    </font>
    <font>
      <b/>
      <sz val="10"/>
      <name val="Arial"/>
      <family val="2"/>
    </font>
    <font>
      <sz val="10"/>
      <color indexed="8"/>
      <name val="Arial"/>
      <family val="2"/>
    </font>
    <font>
      <sz val="10"/>
      <color indexed="16"/>
      <name val="Arial"/>
      <family val="2"/>
    </font>
    <font>
      <b/>
      <sz val="10"/>
      <color indexed="8"/>
      <name val="Arial"/>
      <family val="2"/>
    </font>
    <font>
      <sz val="10"/>
      <color indexed="28"/>
      <name val="Arial"/>
      <family val="2"/>
    </font>
    <font>
      <sz val="10"/>
      <color indexed="12"/>
      <name val="Arial"/>
      <family val="2"/>
    </font>
    <font>
      <sz val="10"/>
      <color indexed="52"/>
      <name val="Arial"/>
      <family val="2"/>
    </font>
    <font>
      <sz val="10"/>
      <color indexed="17"/>
      <name val="Arial"/>
      <family val="2"/>
    </font>
    <font>
      <b/>
      <sz val="16"/>
      <name val="Arial"/>
      <family val="2"/>
    </font>
    <font>
      <b/>
      <sz val="10"/>
      <color indexed="16"/>
      <name val="Arial"/>
      <family val="2"/>
    </font>
    <font>
      <b/>
      <sz val="10"/>
      <color indexed="18"/>
      <name val="Arial"/>
      <family val="2"/>
    </font>
    <font>
      <b/>
      <sz val="10"/>
      <color indexed="12"/>
      <name val="Arial"/>
      <family val="2"/>
    </font>
    <font>
      <b/>
      <sz val="9"/>
      <color indexed="31"/>
      <name val="Arial"/>
      <family val="2"/>
    </font>
    <font>
      <sz val="10"/>
      <color indexed="31"/>
      <name val="Arial"/>
      <family val="2"/>
    </font>
    <font>
      <u/>
      <sz val="10"/>
      <color indexed="12"/>
      <name val="Arial"/>
      <family val="2"/>
    </font>
    <font>
      <b/>
      <sz val="14"/>
      <name val="Arial"/>
      <family val="2"/>
    </font>
    <font>
      <sz val="11"/>
      <name val="Arial"/>
      <family val="2"/>
    </font>
    <font>
      <sz val="11"/>
      <color indexed="16"/>
      <name val="Arial"/>
      <family val="2"/>
    </font>
    <font>
      <sz val="11"/>
      <color indexed="18"/>
      <name val="Arial"/>
      <family val="2"/>
    </font>
    <font>
      <u/>
      <sz val="10"/>
      <color indexed="18"/>
      <name val="Arial"/>
      <family val="2"/>
    </font>
    <font>
      <sz val="10"/>
      <color indexed="58"/>
      <name val="Arial"/>
      <family val="2"/>
    </font>
    <font>
      <b/>
      <sz val="10"/>
      <color indexed="31"/>
      <name val="Arial"/>
      <family val="2"/>
    </font>
    <font>
      <b/>
      <sz val="10"/>
      <color indexed="58"/>
      <name val="Arial"/>
      <family val="2"/>
    </font>
    <font>
      <sz val="9"/>
      <color indexed="12"/>
      <name val="Arial"/>
      <family val="2"/>
    </font>
    <font>
      <b/>
      <sz val="12"/>
      <name val="Arial"/>
      <family val="2"/>
    </font>
    <font>
      <b/>
      <sz val="18"/>
      <name val="Arial"/>
      <family val="2"/>
    </font>
    <font>
      <b/>
      <sz val="12"/>
      <color indexed="18"/>
      <name val="Arial"/>
      <family val="2"/>
    </font>
    <font>
      <b/>
      <sz val="12"/>
      <color indexed="31"/>
      <name val="Arial"/>
      <family val="2"/>
    </font>
    <font>
      <b/>
      <sz val="12"/>
      <color indexed="16"/>
      <name val="Arial"/>
      <family val="2"/>
    </font>
    <font>
      <sz val="12"/>
      <color indexed="16"/>
      <name val="Arial"/>
      <family val="2"/>
    </font>
    <font>
      <sz val="12"/>
      <color indexed="52"/>
      <name val="Arial"/>
      <family val="2"/>
    </font>
    <font>
      <sz val="12"/>
      <color indexed="31"/>
      <name val="Arial"/>
      <family val="2"/>
    </font>
    <font>
      <sz val="10"/>
      <color indexed="22"/>
      <name val="Arial"/>
      <family val="2"/>
    </font>
    <font>
      <b/>
      <sz val="12"/>
      <color indexed="52"/>
      <name val="Arial"/>
      <family val="2"/>
    </font>
    <font>
      <sz val="9"/>
      <color indexed="31"/>
      <name val="Arial"/>
      <family val="2"/>
    </font>
    <font>
      <sz val="10"/>
      <color indexed="19"/>
      <name val="Arial"/>
      <family val="2"/>
    </font>
    <font>
      <sz val="10"/>
      <color indexed="25"/>
      <name val="Arial"/>
      <family val="2"/>
    </font>
    <font>
      <b/>
      <sz val="10"/>
      <color indexed="10"/>
      <name val="Arial"/>
      <family val="2"/>
    </font>
    <font>
      <b/>
      <sz val="10"/>
      <color indexed="28"/>
      <name val="Arial"/>
      <family val="2"/>
    </font>
    <font>
      <b/>
      <sz val="9"/>
      <name val="Arial"/>
      <family val="2"/>
    </font>
    <font>
      <i/>
      <sz val="10"/>
      <color indexed="18"/>
      <name val="Arial"/>
      <family val="2"/>
    </font>
    <font>
      <sz val="8"/>
      <name val="Arial"/>
      <family val="2"/>
    </font>
    <font>
      <u/>
      <sz val="11"/>
      <color indexed="31"/>
      <name val="Arial"/>
      <family val="2"/>
    </font>
    <font>
      <sz val="14"/>
      <color indexed="58"/>
      <name val="Arial"/>
      <family val="2"/>
    </font>
    <font>
      <sz val="10"/>
      <color indexed="10"/>
      <name val="Arial"/>
      <family val="2"/>
    </font>
    <font>
      <sz val="10"/>
      <name val="Arial"/>
      <family val="2"/>
    </font>
    <font>
      <b/>
      <sz val="10"/>
      <name val="Arial"/>
      <family val="2"/>
    </font>
    <font>
      <b/>
      <sz val="10"/>
      <name val="Arial"/>
      <family val="2"/>
    </font>
    <font>
      <sz val="10"/>
      <name val="Arial"/>
      <family val="2"/>
    </font>
    <font>
      <sz val="36"/>
      <color theme="9" tint="-0.249977111117893"/>
      <name val="Arial"/>
      <family val="2"/>
    </font>
    <font>
      <u/>
      <sz val="10"/>
      <color theme="11"/>
      <name val="Arial"/>
      <family val="2"/>
    </font>
    <font>
      <b/>
      <sz val="16"/>
      <color rgb="FFFF0000"/>
      <name val="Arial"/>
      <family val="2"/>
    </font>
    <font>
      <b/>
      <sz val="16"/>
      <color theme="0"/>
      <name val="Arial"/>
      <family val="2"/>
    </font>
    <font>
      <b/>
      <sz val="12"/>
      <color theme="0"/>
      <name val="Arial"/>
      <family val="2"/>
    </font>
    <font>
      <sz val="11"/>
      <color theme="0"/>
      <name val="Arial"/>
      <family val="2"/>
    </font>
    <font>
      <sz val="10"/>
      <color theme="0"/>
      <name val="Arial"/>
      <family val="2"/>
    </font>
    <font>
      <b/>
      <sz val="13"/>
      <color theme="0"/>
      <name val="Arial"/>
      <family val="2"/>
    </font>
    <font>
      <b/>
      <sz val="10"/>
      <color theme="0"/>
      <name val="Arial"/>
      <family val="2"/>
    </font>
    <font>
      <b/>
      <sz val="11"/>
      <color theme="0"/>
      <name val="Arial"/>
      <family val="2"/>
    </font>
    <font>
      <sz val="12"/>
      <color theme="0"/>
      <name val="Arial"/>
      <family val="2"/>
    </font>
    <font>
      <i/>
      <sz val="10"/>
      <color theme="0"/>
      <name val="Arial"/>
      <family val="2"/>
    </font>
    <font>
      <b/>
      <u/>
      <sz val="10"/>
      <color rgb="FFFF0000"/>
      <name val="Arial"/>
      <family val="2"/>
    </font>
    <font>
      <b/>
      <u/>
      <sz val="9"/>
      <color rgb="FFFF0000"/>
      <name val="Arial"/>
      <family val="2"/>
    </font>
    <font>
      <sz val="10"/>
      <name val="Geneva"/>
      <family val="2"/>
    </font>
    <font>
      <sz val="10"/>
      <name val="Helv"/>
    </font>
    <font>
      <b/>
      <sz val="10"/>
      <name val="Helv"/>
    </font>
    <font>
      <b/>
      <sz val="10"/>
      <color indexed="12"/>
      <name val="Helv"/>
    </font>
    <font>
      <sz val="10"/>
      <color indexed="16"/>
      <name val="Helv"/>
    </font>
    <font>
      <sz val="10"/>
      <name val="Courier"/>
      <family val="1"/>
    </font>
    <font>
      <i/>
      <sz val="10"/>
      <color indexed="16"/>
      <name val="Helv"/>
    </font>
    <font>
      <sz val="12"/>
      <color indexed="16"/>
      <name val="Helv"/>
    </font>
    <font>
      <b/>
      <sz val="14"/>
      <name val="Helv"/>
    </font>
    <font>
      <sz val="12"/>
      <name val="Helv"/>
    </font>
    <font>
      <b/>
      <sz val="10"/>
      <color theme="0"/>
      <name val="Helv"/>
    </font>
    <font>
      <b/>
      <sz val="16"/>
      <name val="Helv"/>
    </font>
    <font>
      <sz val="10"/>
      <color theme="0"/>
      <name val="Courier"/>
      <family val="3"/>
    </font>
    <font>
      <sz val="10"/>
      <color theme="0"/>
      <name val="Helv"/>
    </font>
    <font>
      <b/>
      <sz val="12"/>
      <color theme="1"/>
      <name val="Arial"/>
      <family val="2"/>
    </font>
    <font>
      <b/>
      <sz val="10"/>
      <color theme="0"/>
      <name val="Helvetica"/>
      <family val="2"/>
    </font>
    <font>
      <sz val="11"/>
      <color theme="1"/>
      <name val="Calibri"/>
      <family val="2"/>
      <scheme val="minor"/>
    </font>
    <font>
      <b/>
      <sz val="12"/>
      <name val="Helv"/>
    </font>
    <font>
      <sz val="9"/>
      <name val="Helv"/>
    </font>
    <font>
      <b/>
      <sz val="11"/>
      <color rgb="FFFF0000"/>
      <name val="Courier"/>
      <family val="1"/>
    </font>
    <font>
      <i/>
      <sz val="10"/>
      <name val="Arial"/>
      <family val="2"/>
    </font>
    <font>
      <sz val="6"/>
      <color rgb="FFFF0000"/>
      <name val="Courier"/>
      <family val="1"/>
    </font>
    <font>
      <b/>
      <sz val="14"/>
      <color indexed="18"/>
      <name val="Arial"/>
      <family val="2"/>
    </font>
    <font>
      <sz val="10"/>
      <name val="Helvetica"/>
      <family val="2"/>
    </font>
    <font>
      <b/>
      <sz val="12"/>
      <name val="Helvetica"/>
      <family val="2"/>
    </font>
    <font>
      <sz val="12"/>
      <name val="Helvetica"/>
      <family val="2"/>
    </font>
    <font>
      <b/>
      <sz val="10"/>
      <color rgb="FFFF0000"/>
      <name val="Arial"/>
      <family val="2"/>
    </font>
    <font>
      <sz val="12"/>
      <color theme="1"/>
      <name val="Arial"/>
      <family val="2"/>
    </font>
    <font>
      <sz val="10"/>
      <color theme="1"/>
      <name val="Arial"/>
      <family val="2"/>
    </font>
    <font>
      <sz val="12"/>
      <color theme="1"/>
      <name val="Geneva"/>
      <family val="2"/>
    </font>
    <font>
      <b/>
      <sz val="10"/>
      <color theme="1"/>
      <name val="Arial"/>
      <family val="2"/>
    </font>
    <font>
      <sz val="10"/>
      <color theme="3"/>
      <name val="Arial"/>
      <family val="2"/>
    </font>
    <font>
      <sz val="10"/>
      <color theme="5" tint="-0.249977111117893"/>
      <name val="Arial"/>
      <family val="2"/>
    </font>
    <font>
      <sz val="14"/>
      <color theme="0"/>
      <name val="Arial"/>
      <family val="2"/>
    </font>
    <font>
      <sz val="36"/>
      <color theme="0"/>
      <name val="Arial"/>
      <family val="2"/>
    </font>
    <font>
      <b/>
      <sz val="10"/>
      <color rgb="FF3469F0"/>
      <name val="Arial"/>
      <family val="2"/>
    </font>
    <font>
      <b/>
      <sz val="10"/>
      <color theme="1"/>
      <name val="Helv"/>
    </font>
    <font>
      <sz val="10"/>
      <color theme="1"/>
      <name val="Helvetica"/>
      <family val="2"/>
    </font>
    <font>
      <sz val="10"/>
      <color rgb="FF0000D4"/>
      <name val="Arial"/>
      <family val="2"/>
    </font>
    <font>
      <sz val="16"/>
      <name val="Arial"/>
      <family val="2"/>
    </font>
    <font>
      <sz val="10"/>
      <color theme="1"/>
      <name val="Helv"/>
    </font>
    <font>
      <b/>
      <sz val="20"/>
      <name val="Arial"/>
      <family val="2"/>
    </font>
    <font>
      <sz val="10"/>
      <color rgb="FFFF0000"/>
      <name val="Arial"/>
      <family val="2"/>
    </font>
    <font>
      <sz val="9"/>
      <name val="Helvetica"/>
      <family val="2"/>
    </font>
    <font>
      <sz val="10"/>
      <color theme="1"/>
      <name val="Courier"/>
      <family val="3"/>
    </font>
    <font>
      <b/>
      <sz val="16"/>
      <color rgb="FFFF0000"/>
      <name val="Courier"/>
      <family val="1"/>
    </font>
    <font>
      <b/>
      <sz val="20"/>
      <name val="Courier"/>
      <family val="3"/>
    </font>
    <font>
      <sz val="14"/>
      <name val="Courier"/>
      <family val="1"/>
    </font>
    <font>
      <b/>
      <u/>
      <sz val="10"/>
      <color theme="0" tint="-0.14999847407452621"/>
      <name val="Arial"/>
      <family val="2"/>
    </font>
    <font>
      <sz val="10"/>
      <color theme="0" tint="-0.14999847407452621"/>
      <name val="Arial"/>
      <family val="2"/>
    </font>
    <font>
      <sz val="8"/>
      <color rgb="FFFF0000"/>
      <name val="Arial"/>
      <family val="2"/>
    </font>
    <font>
      <sz val="6"/>
      <name val="Arial"/>
      <family val="2"/>
    </font>
    <font>
      <sz val="7"/>
      <color theme="1"/>
      <name val="Arial"/>
      <family val="2"/>
    </font>
    <font>
      <sz val="7"/>
      <color rgb="FFFF0000"/>
      <name val="Arial"/>
      <family val="2"/>
    </font>
    <font>
      <sz val="6"/>
      <color rgb="FFFF0000"/>
      <name val="Arial"/>
      <family val="2"/>
    </font>
    <font>
      <sz val="6"/>
      <color theme="1"/>
      <name val="Arial"/>
      <family val="2"/>
    </font>
    <font>
      <sz val="10"/>
      <color theme="3" tint="-0.249977111117893"/>
      <name val="Arial"/>
      <family val="2"/>
    </font>
    <font>
      <sz val="12"/>
      <color indexed="58"/>
      <name val="Arial"/>
      <family val="2"/>
    </font>
    <font>
      <b/>
      <sz val="12"/>
      <color rgb="FFC00000"/>
      <name val="Arial"/>
      <family val="2"/>
    </font>
    <font>
      <sz val="12"/>
      <color theme="0" tint="-0.14999847407452621"/>
      <name val="Arial"/>
      <family val="2"/>
    </font>
    <font>
      <sz val="12"/>
      <color indexed="18"/>
      <name val="Arial"/>
      <family val="2"/>
    </font>
    <font>
      <sz val="12"/>
      <color indexed="17"/>
      <name val="Arial"/>
      <family val="2"/>
    </font>
    <font>
      <sz val="12"/>
      <color rgb="FF003300"/>
      <name val="Arial"/>
      <family val="2"/>
    </font>
    <font>
      <sz val="12"/>
      <color rgb="FF006411"/>
      <name val="Arial"/>
      <family val="2"/>
    </font>
    <font>
      <sz val="12"/>
      <color rgb="FFFF0000"/>
      <name val="Arial"/>
      <family val="2"/>
    </font>
    <font>
      <sz val="12"/>
      <color indexed="12"/>
      <name val="Arial"/>
      <family val="2"/>
    </font>
    <font>
      <sz val="12"/>
      <color rgb="FFC00000"/>
      <name val="Arial"/>
      <family val="2"/>
    </font>
    <font>
      <b/>
      <sz val="12"/>
      <color indexed="8"/>
      <name val="Arial"/>
      <family val="2"/>
    </font>
    <font>
      <b/>
      <sz val="12"/>
      <color indexed="17"/>
      <name val="Arial"/>
      <family val="2"/>
    </font>
    <font>
      <sz val="12"/>
      <color indexed="8"/>
      <name val="Arial"/>
      <family val="2"/>
    </font>
    <font>
      <sz val="10"/>
      <color theme="6" tint="-0.499984740745262"/>
      <name val="Arial"/>
      <family val="2"/>
    </font>
    <font>
      <sz val="10"/>
      <color rgb="FF000000"/>
      <name val="Tahoma"/>
      <family val="2"/>
    </font>
    <font>
      <b/>
      <sz val="10"/>
      <color rgb="FF000000"/>
      <name val="Tahoma"/>
      <family val="2"/>
    </font>
    <font>
      <b/>
      <sz val="10"/>
      <color rgb="FFFF0000"/>
      <name val="Courier"/>
      <family val="1"/>
    </font>
    <font>
      <b/>
      <sz val="12"/>
      <color rgb="FFFF0000"/>
      <name val="Courier"/>
      <family val="1"/>
    </font>
    <font>
      <b/>
      <sz val="12"/>
      <name val="Courier"/>
      <family val="1"/>
    </font>
    <font>
      <b/>
      <sz val="20"/>
      <name val="Courier"/>
      <family val="1"/>
    </font>
    <font>
      <b/>
      <sz val="10"/>
      <name val="Helvetica"/>
      <family val="2"/>
    </font>
    <font>
      <sz val="10"/>
      <color theme="0"/>
      <name val="Helvetica"/>
      <family val="2"/>
    </font>
    <font>
      <sz val="10"/>
      <color indexed="17"/>
      <name val="Helvetica"/>
      <family val="2"/>
    </font>
    <font>
      <sz val="18"/>
      <name val="Helvetica"/>
      <family val="2"/>
    </font>
    <font>
      <sz val="10"/>
      <color rgb="FFFF0000"/>
      <name val="Helvetica"/>
      <family val="2"/>
    </font>
    <font>
      <sz val="10"/>
      <color indexed="12"/>
      <name val="Helvetica"/>
      <family val="2"/>
    </font>
    <font>
      <sz val="16"/>
      <name val="Helvetica"/>
      <family val="2"/>
    </font>
    <font>
      <sz val="12"/>
      <color rgb="FFFF0000"/>
      <name val="Helvetica"/>
      <family val="2"/>
    </font>
    <font>
      <sz val="14"/>
      <color rgb="FFFF0000"/>
      <name val="Helvetica"/>
      <family val="2"/>
    </font>
    <font>
      <sz val="16"/>
      <color rgb="FFFF0000"/>
      <name val="Helvetica"/>
      <family val="2"/>
    </font>
    <font>
      <b/>
      <sz val="20"/>
      <color rgb="FFC00000"/>
      <name val="Courier"/>
      <family val="1"/>
    </font>
    <font>
      <sz val="14"/>
      <color rgb="FFC00000"/>
      <name val="Courier"/>
      <family val="1"/>
    </font>
    <font>
      <sz val="10"/>
      <color indexed="16"/>
      <name val="Helvetica"/>
      <family val="2"/>
    </font>
    <font>
      <sz val="8"/>
      <name val="Helvetica"/>
      <family val="2"/>
    </font>
    <font>
      <sz val="12"/>
      <color theme="0"/>
      <name val="Helvetica"/>
      <family val="2"/>
    </font>
    <font>
      <sz val="10"/>
      <color rgb="FFFFFFFF"/>
      <name val="Helvetica"/>
      <family val="2"/>
    </font>
    <font>
      <sz val="9"/>
      <color rgb="FFFF0000"/>
      <name val="Helvetica"/>
      <family val="2"/>
    </font>
    <font>
      <b/>
      <sz val="10"/>
      <color rgb="FFC00000"/>
      <name val="Arial"/>
      <family val="2"/>
    </font>
    <font>
      <sz val="12"/>
      <color rgb="FFFFFFFF"/>
      <name val="Arial"/>
      <family val="2"/>
    </font>
    <font>
      <sz val="10"/>
      <color rgb="FFC00000"/>
      <name val="Arial"/>
      <family val="2"/>
    </font>
    <font>
      <b/>
      <sz val="9"/>
      <color theme="0"/>
      <name val="Arial"/>
      <family val="2"/>
    </font>
    <font>
      <b/>
      <sz val="26"/>
      <name val="Arial"/>
      <family val="2"/>
    </font>
    <font>
      <sz val="8"/>
      <color theme="1"/>
      <name val="Arial"/>
      <family val="2"/>
    </font>
    <font>
      <b/>
      <sz val="10"/>
      <name val="Courier"/>
      <family val="1"/>
    </font>
    <font>
      <b/>
      <sz val="10"/>
      <color theme="1"/>
      <name val="Courier"/>
      <family val="1"/>
    </font>
    <font>
      <b/>
      <sz val="10"/>
      <name val="Courier"/>
      <family val="3"/>
    </font>
    <font>
      <sz val="10"/>
      <color rgb="FFFF0000"/>
      <name val="Helv"/>
    </font>
    <font>
      <sz val="10"/>
      <color rgb="FFFF0000"/>
      <name val="Courier"/>
      <family val="1"/>
    </font>
    <font>
      <sz val="8"/>
      <color rgb="FFFF0000"/>
      <name val="Helv"/>
    </font>
    <font>
      <i/>
      <sz val="12"/>
      <name val="Arial"/>
      <family val="2"/>
    </font>
    <font>
      <b/>
      <sz val="20"/>
      <color theme="0"/>
      <name val="Arial"/>
      <family val="2"/>
    </font>
  </fonts>
  <fills count="80">
    <fill>
      <patternFill patternType="none"/>
    </fill>
    <fill>
      <patternFill patternType="gray125"/>
    </fill>
    <fill>
      <patternFill patternType="solid">
        <fgColor indexed="31"/>
        <bgColor indexed="22"/>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1"/>
        <bgColor indexed="22"/>
      </patternFill>
    </fill>
    <fill>
      <patternFill patternType="solid">
        <fgColor theme="1"/>
        <bgColor indexed="64"/>
      </patternFill>
    </fill>
    <fill>
      <patternFill patternType="solid">
        <fgColor theme="0" tint="-0.249977111117893"/>
        <bgColor indexed="64"/>
      </patternFill>
    </fill>
    <fill>
      <patternFill patternType="solid">
        <fgColor theme="1" tint="4.9989318521683403E-2"/>
        <bgColor indexed="22"/>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0" tint="-0.14999847407452621"/>
        <bgColor indexed="26"/>
      </patternFill>
    </fill>
    <fill>
      <patternFill patternType="solid">
        <fgColor theme="0" tint="-0.14999847407452621"/>
        <bgColor indexed="27"/>
      </patternFill>
    </fill>
    <fill>
      <patternFill patternType="solid">
        <fgColor theme="1"/>
        <bgColor indexed="26"/>
      </patternFill>
    </fill>
    <fill>
      <patternFill patternType="solid">
        <fgColor theme="1"/>
        <bgColor indexed="27"/>
      </patternFill>
    </fill>
    <fill>
      <patternFill patternType="solid">
        <fgColor theme="0" tint="-0.249977111117893"/>
        <bgColor indexed="27"/>
      </patternFill>
    </fill>
    <fill>
      <patternFill patternType="solid">
        <fgColor theme="0" tint="-0.249977111117893"/>
        <bgColor indexed="31"/>
      </patternFill>
    </fill>
    <fill>
      <patternFill patternType="solid">
        <fgColor theme="0" tint="-0.249977111117893"/>
        <bgColor indexed="26"/>
      </patternFill>
    </fill>
    <fill>
      <patternFill patternType="solid">
        <fgColor theme="1"/>
        <bgColor indexed="29"/>
      </patternFill>
    </fill>
    <fill>
      <patternFill patternType="solid">
        <fgColor theme="1"/>
        <bgColor indexed="31"/>
      </patternFill>
    </fill>
    <fill>
      <patternFill patternType="solid">
        <fgColor theme="0" tint="-0.14999847407452621"/>
        <bgColor indexed="58"/>
      </patternFill>
    </fill>
    <fill>
      <patternFill patternType="solid">
        <fgColor theme="0"/>
        <bgColor indexed="26"/>
      </patternFill>
    </fill>
    <fill>
      <patternFill patternType="solid">
        <fgColor theme="0" tint="-0.14999847407452621"/>
        <bgColor indexed="22"/>
      </patternFill>
    </fill>
    <fill>
      <patternFill patternType="solid">
        <fgColor theme="0" tint="-0.14999847407452621"/>
        <bgColor indexed="41"/>
      </patternFill>
    </fill>
    <fill>
      <patternFill patternType="solid">
        <fgColor theme="1"/>
        <bgColor indexed="58"/>
      </patternFill>
    </fill>
    <fill>
      <patternFill patternType="solid">
        <fgColor theme="0" tint="-0.34998626667073579"/>
        <bgColor indexed="64"/>
      </patternFill>
    </fill>
    <fill>
      <patternFill patternType="solid">
        <fgColor rgb="FFD9D9D9"/>
        <bgColor rgb="FF000000"/>
      </patternFill>
    </fill>
    <fill>
      <patternFill patternType="solid">
        <fgColor rgb="FF000000"/>
        <bgColor rgb="FF000000"/>
      </patternFill>
    </fill>
    <fill>
      <patternFill patternType="solid">
        <fgColor rgb="FFFFFF00"/>
        <bgColor indexed="64"/>
      </patternFill>
    </fill>
    <fill>
      <patternFill patternType="solid">
        <fgColor theme="0" tint="-0.14999847407452621"/>
        <bgColor indexed="24"/>
      </patternFill>
    </fill>
    <fill>
      <patternFill patternType="solid">
        <fgColor rgb="FFFFFF00"/>
        <bgColor indexed="31"/>
      </patternFill>
    </fill>
    <fill>
      <patternFill patternType="gray0625">
        <bgColor theme="0" tint="-0.14996795556505021"/>
      </patternFill>
    </fill>
    <fill>
      <patternFill patternType="gray0625">
        <fgColor theme="1"/>
        <bgColor theme="0" tint="-0.1498458815271462"/>
      </patternFill>
    </fill>
    <fill>
      <patternFill patternType="solid">
        <fgColor rgb="FFFFFF00"/>
        <bgColor theme="1"/>
      </patternFill>
    </fill>
    <fill>
      <patternFill patternType="solid">
        <fgColor theme="5" tint="0.59999389629810485"/>
        <bgColor indexed="64"/>
      </patternFill>
    </fill>
    <fill>
      <patternFill patternType="solid">
        <fgColor rgb="FFFFFF99"/>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BBE"/>
        <bgColor indexed="64"/>
      </patternFill>
    </fill>
    <fill>
      <patternFill patternType="mediumGray">
        <bgColor theme="0" tint="-0.14996795556505021"/>
      </patternFill>
    </fill>
    <fill>
      <patternFill patternType="mediumGray">
        <bgColor theme="0" tint="-0.14993743705557422"/>
      </patternFill>
    </fill>
    <fill>
      <patternFill patternType="darkGray">
        <bgColor theme="0" tint="-0.14996795556505021"/>
      </patternFill>
    </fill>
    <fill>
      <patternFill patternType="mediumGray">
        <bgColor theme="0" tint="-0.249977111117893"/>
      </patternFill>
    </fill>
    <fill>
      <patternFill patternType="mediumGray">
        <bgColor theme="0" tint="-0.24994659260841701"/>
      </patternFill>
    </fill>
    <fill>
      <patternFill patternType="solid">
        <fgColor theme="5" tint="0.39997558519241921"/>
        <bgColor indexed="64"/>
      </patternFill>
    </fill>
    <fill>
      <patternFill patternType="solid">
        <fgColor rgb="FFFFFF00"/>
        <bgColor rgb="FF000000"/>
      </patternFill>
    </fill>
    <fill>
      <patternFill patternType="solid">
        <fgColor theme="6" tint="0.79998168889431442"/>
        <bgColor indexed="26"/>
      </patternFill>
    </fill>
    <fill>
      <patternFill patternType="solid">
        <fgColor theme="6" tint="0.39997558519241921"/>
        <bgColor indexed="64"/>
      </patternFill>
    </fill>
    <fill>
      <patternFill patternType="solid">
        <fgColor theme="6" tint="0.39997558519241921"/>
        <bgColor indexed="26"/>
      </patternFill>
    </fill>
    <fill>
      <patternFill patternType="solid">
        <fgColor theme="6" tint="-0.249977111117893"/>
        <bgColor indexed="64"/>
      </patternFill>
    </fill>
    <fill>
      <patternFill patternType="solid">
        <fgColor theme="6" tint="-0.249977111117893"/>
        <bgColor indexed="26"/>
      </patternFill>
    </fill>
    <fill>
      <patternFill patternType="solid">
        <fgColor theme="0"/>
        <bgColor indexed="31"/>
      </patternFill>
    </fill>
    <fill>
      <patternFill patternType="solid">
        <fgColor theme="0" tint="-0.249977111117893"/>
        <bgColor indexed="22"/>
      </patternFill>
    </fill>
    <fill>
      <patternFill patternType="solid">
        <fgColor theme="0" tint="-0.34998626667073579"/>
        <bgColor theme="1"/>
      </patternFill>
    </fill>
    <fill>
      <patternFill patternType="solid">
        <fgColor rgb="FFFFFF00"/>
        <bgColor indexed="22"/>
      </patternFill>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tint="-0.14996795556505021"/>
        <bgColor indexed="64"/>
      </patternFill>
    </fill>
    <fill>
      <patternFill patternType="solid">
        <fgColor rgb="FFFFFF00"/>
        <bgColor indexed="26"/>
      </patternFill>
    </fill>
    <fill>
      <patternFill patternType="solid">
        <fgColor theme="3" tint="0.79998168889431442"/>
        <bgColor indexed="64"/>
      </patternFill>
    </fill>
    <fill>
      <patternFill patternType="solid">
        <fgColor rgb="FFC00000"/>
        <bgColor indexed="64"/>
      </patternFill>
    </fill>
    <fill>
      <patternFill patternType="solid">
        <fgColor theme="0"/>
        <bgColor indexed="22"/>
      </patternFill>
    </fill>
    <fill>
      <patternFill patternType="solid">
        <fgColor rgb="FFC00000"/>
        <bgColor rgb="FF000000"/>
      </patternFill>
    </fill>
    <fill>
      <patternFill patternType="solid">
        <fgColor theme="6" tint="0.59999389629810485"/>
        <bgColor indexed="64"/>
      </patternFill>
    </fill>
  </fills>
  <borders count="884">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thin">
        <color indexed="8"/>
      </left>
      <right style="medium">
        <color indexed="8"/>
      </right>
      <top style="thin">
        <color indexed="8"/>
      </top>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right/>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hair">
        <color indexed="8"/>
      </right>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hair">
        <color indexed="8"/>
      </left>
      <right/>
      <top/>
      <bottom style="medium">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right style="thin">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hair">
        <color indexed="8"/>
      </right>
      <top/>
      <bottom style="hair">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hair">
        <color indexed="8"/>
      </left>
      <right/>
      <top style="hair">
        <color indexed="8"/>
      </top>
      <bottom style="hair">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17"/>
      </left>
      <right style="medium">
        <color indexed="8"/>
      </right>
      <top style="medium">
        <color indexed="17"/>
      </top>
      <bottom style="medium">
        <color indexed="17"/>
      </bottom>
      <diagonal/>
    </border>
    <border>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top/>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style="thin">
        <color indexed="8"/>
      </top>
      <bottom style="medium">
        <color indexed="8"/>
      </bottom>
      <diagonal/>
    </border>
    <border>
      <left style="hair">
        <color indexed="8"/>
      </left>
      <right/>
      <top style="hair">
        <color indexed="8"/>
      </top>
      <bottom/>
      <diagonal/>
    </border>
    <border>
      <left style="hair">
        <color indexed="8"/>
      </left>
      <right style="hair">
        <color indexed="8"/>
      </right>
      <top style="medium">
        <color indexed="8"/>
      </top>
      <bottom style="thin">
        <color indexed="8"/>
      </bottom>
      <diagonal/>
    </border>
    <border>
      <left style="hair">
        <color indexed="8"/>
      </left>
      <right/>
      <top style="hair">
        <color indexed="8"/>
      </top>
      <bottom style="thin">
        <color indexed="8"/>
      </bottom>
      <diagonal/>
    </border>
    <border>
      <left style="hair">
        <color indexed="8"/>
      </left>
      <right/>
      <top style="thin">
        <color indexed="8"/>
      </top>
      <bottom style="medium">
        <color indexed="8"/>
      </bottom>
      <diagonal/>
    </border>
    <border>
      <left style="hair">
        <color indexed="8"/>
      </left>
      <right/>
      <top style="thin">
        <color indexed="8"/>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indexed="8"/>
      </top>
      <bottom style="thin">
        <color indexed="8"/>
      </bottom>
      <diagonal/>
    </border>
    <border>
      <left style="medium">
        <color auto="1"/>
      </left>
      <right style="medium">
        <color auto="1"/>
      </right>
      <top style="medium">
        <color auto="1"/>
      </top>
      <bottom style="thin">
        <color indexed="8"/>
      </bottom>
      <diagonal/>
    </border>
    <border>
      <left style="medium">
        <color auto="1"/>
      </left>
      <right style="medium">
        <color auto="1"/>
      </right>
      <top style="thin">
        <color indexed="8"/>
      </top>
      <bottom style="thin">
        <color indexed="8"/>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auto="1"/>
      </left>
      <right/>
      <top style="thin">
        <color indexed="8"/>
      </top>
      <bottom style="thin">
        <color indexed="8"/>
      </bottom>
      <diagonal/>
    </border>
    <border>
      <left style="thin">
        <color indexed="8"/>
      </left>
      <right style="thin">
        <color auto="1"/>
      </right>
      <top style="thin">
        <color indexed="8"/>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style="thin">
        <color auto="1"/>
      </top>
      <bottom style="thin">
        <color indexed="8"/>
      </bottom>
      <diagonal/>
    </border>
    <border>
      <left/>
      <right/>
      <top style="thin">
        <color auto="1"/>
      </top>
      <bottom style="thin">
        <color auto="1"/>
      </bottom>
      <diagonal/>
    </border>
    <border>
      <left style="thin">
        <color indexed="8"/>
      </left>
      <right style="medium">
        <color indexed="8"/>
      </right>
      <top style="thin">
        <color indexed="8"/>
      </top>
      <bottom style="thin">
        <color auto="1"/>
      </bottom>
      <diagonal/>
    </border>
    <border>
      <left/>
      <right style="thin">
        <color auto="1"/>
      </right>
      <top style="thin">
        <color auto="1"/>
      </top>
      <bottom style="medium">
        <color auto="1"/>
      </bottom>
      <diagonal/>
    </border>
    <border>
      <left style="medium">
        <color auto="1"/>
      </left>
      <right style="thin">
        <color indexed="8"/>
      </right>
      <top style="medium">
        <color auto="1"/>
      </top>
      <bottom/>
      <diagonal/>
    </border>
    <border>
      <left style="thin">
        <color indexed="8"/>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top style="thin">
        <color auto="1"/>
      </top>
      <bottom style="thin">
        <color indexed="8"/>
      </bottom>
      <diagonal/>
    </border>
    <border>
      <left style="thin">
        <color indexed="8"/>
      </left>
      <right/>
      <top style="hair">
        <color indexed="8"/>
      </top>
      <bottom style="thin">
        <color auto="1"/>
      </bottom>
      <diagonal/>
    </border>
    <border>
      <left style="thin">
        <color indexed="8"/>
      </left>
      <right style="thin">
        <color indexed="8"/>
      </right>
      <top style="medium">
        <color auto="1"/>
      </top>
      <bottom/>
      <diagonal/>
    </border>
    <border>
      <left style="medium">
        <color auto="1"/>
      </left>
      <right style="thin">
        <color indexed="8"/>
      </right>
      <top style="medium">
        <color indexed="8"/>
      </top>
      <bottom/>
      <diagonal/>
    </border>
    <border>
      <left style="medium">
        <color auto="1"/>
      </left>
      <right/>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theme="0"/>
      </left>
      <right style="hair">
        <color indexed="8"/>
      </right>
      <top style="medium">
        <color theme="0"/>
      </top>
      <bottom style="medium">
        <color indexed="8"/>
      </bottom>
      <diagonal/>
    </border>
    <border>
      <left style="hair">
        <color indexed="8"/>
      </left>
      <right style="hair">
        <color indexed="8"/>
      </right>
      <top style="medium">
        <color theme="0"/>
      </top>
      <bottom style="medium">
        <color indexed="8"/>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8"/>
      </left>
      <right style="thin">
        <color indexed="8"/>
      </right>
      <top style="medium">
        <color theme="0"/>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medium">
        <color auto="1"/>
      </right>
      <top style="thin">
        <color indexed="8"/>
      </top>
      <bottom/>
      <diagonal/>
    </border>
    <border>
      <left style="thin">
        <color indexed="8"/>
      </left>
      <right style="medium">
        <color auto="1"/>
      </right>
      <top/>
      <bottom style="thin">
        <color indexed="8"/>
      </bottom>
      <diagonal/>
    </border>
    <border>
      <left style="hair">
        <color indexed="8"/>
      </left>
      <right style="medium">
        <color auto="1"/>
      </right>
      <top style="hair">
        <color indexed="8"/>
      </top>
      <bottom style="hair">
        <color indexed="8"/>
      </bottom>
      <diagonal/>
    </border>
    <border>
      <left style="medium">
        <color auto="1"/>
      </left>
      <right/>
      <top/>
      <bottom style="hair">
        <color indexed="8"/>
      </bottom>
      <diagonal/>
    </border>
    <border>
      <left style="hair">
        <color indexed="8"/>
      </left>
      <right style="hair">
        <color indexed="8"/>
      </right>
      <top style="hair">
        <color indexed="8"/>
      </top>
      <bottom style="medium">
        <color auto="1"/>
      </bottom>
      <diagonal/>
    </border>
    <border>
      <left style="hair">
        <color indexed="8"/>
      </left>
      <right style="medium">
        <color auto="1"/>
      </right>
      <top style="hair">
        <color indexed="8"/>
      </top>
      <bottom style="medium">
        <color auto="1"/>
      </bottom>
      <diagonal/>
    </border>
    <border>
      <left style="thin">
        <color indexed="8"/>
      </left>
      <right/>
      <top style="thin">
        <color indexed="8"/>
      </top>
      <bottom style="thin">
        <color auto="1"/>
      </bottom>
      <diagonal/>
    </border>
    <border>
      <left style="thin">
        <color auto="1"/>
      </left>
      <right style="thin">
        <color auto="1"/>
      </right>
      <top style="thin">
        <color indexed="8"/>
      </top>
      <bottom/>
      <diagonal/>
    </border>
    <border>
      <left/>
      <right/>
      <top/>
      <bottom style="thin">
        <color auto="1"/>
      </bottom>
      <diagonal/>
    </border>
    <border>
      <left/>
      <right style="medium">
        <color indexed="8"/>
      </right>
      <top style="thin">
        <color indexed="8"/>
      </top>
      <bottom style="thin">
        <color indexed="8"/>
      </bottom>
      <diagonal/>
    </border>
    <border>
      <left style="medium">
        <color auto="1"/>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indexed="8"/>
      </left>
      <right style="medium">
        <color indexed="8"/>
      </right>
      <top/>
      <bottom/>
      <diagonal/>
    </border>
    <border>
      <left style="medium">
        <color auto="1"/>
      </left>
      <right/>
      <top style="hair">
        <color indexed="8"/>
      </top>
      <bottom style="hair">
        <color indexed="8"/>
      </bottom>
      <diagonal/>
    </border>
    <border>
      <left style="medium">
        <color auto="1"/>
      </left>
      <right/>
      <top style="hair">
        <color indexed="8"/>
      </top>
      <bottom/>
      <diagonal/>
    </border>
    <border>
      <left style="medium">
        <color indexed="8"/>
      </left>
      <right style="medium">
        <color indexed="8"/>
      </right>
      <top style="thin">
        <color indexed="8"/>
      </top>
      <bottom style="medium">
        <color indexed="8"/>
      </bottom>
      <diagonal/>
    </border>
    <border>
      <left style="medium">
        <color auto="1"/>
      </left>
      <right style="medium">
        <color indexed="8"/>
      </right>
      <top/>
      <bottom style="hair">
        <color indexed="8"/>
      </bottom>
      <diagonal/>
    </border>
    <border>
      <left style="medium">
        <color auto="1"/>
      </left>
      <right style="medium">
        <color indexed="8"/>
      </right>
      <top style="hair">
        <color indexed="8"/>
      </top>
      <bottom style="hair">
        <color indexed="8"/>
      </bottom>
      <diagonal/>
    </border>
    <border>
      <left style="medium">
        <color auto="1"/>
      </left>
      <right style="medium">
        <color indexed="8"/>
      </right>
      <top style="hair">
        <color indexed="8"/>
      </top>
      <bottom style="medium">
        <color indexed="8"/>
      </bottom>
      <diagonal/>
    </border>
    <border>
      <left style="medium">
        <color auto="1"/>
      </left>
      <right style="medium">
        <color indexed="8"/>
      </right>
      <top style="hair">
        <color indexed="8"/>
      </top>
      <bottom/>
      <diagonal/>
    </border>
    <border>
      <left/>
      <right style="medium">
        <color auto="1"/>
      </right>
      <top/>
      <bottom/>
      <diagonal/>
    </border>
    <border>
      <left style="medium">
        <color auto="1"/>
      </left>
      <right/>
      <top/>
      <bottom style="medium">
        <color auto="1"/>
      </bottom>
      <diagonal/>
    </border>
    <border>
      <left style="medium">
        <color indexed="8"/>
      </left>
      <right style="medium">
        <color indexed="8"/>
      </right>
      <top style="thin">
        <color indexed="8"/>
      </top>
      <bottom/>
      <diagonal/>
    </border>
    <border>
      <left style="medium">
        <color auto="1"/>
      </left>
      <right style="medium">
        <color indexed="8"/>
      </right>
      <top/>
      <bottom/>
      <diagonal/>
    </border>
    <border>
      <left style="medium">
        <color auto="1"/>
      </left>
      <right/>
      <top/>
      <bottom style="medium">
        <color indexed="8"/>
      </bottom>
      <diagonal/>
    </border>
    <border>
      <left/>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diagonal/>
    </border>
    <border>
      <left style="medium">
        <color auto="1"/>
      </left>
      <right style="medium">
        <color auto="1"/>
      </right>
      <top style="thin">
        <color indexed="8"/>
      </top>
      <bottom style="medium">
        <color auto="1"/>
      </bottom>
      <diagonal/>
    </border>
    <border>
      <left/>
      <right style="medium">
        <color indexed="8"/>
      </right>
      <top/>
      <bottom style="medium">
        <color indexed="8"/>
      </bottom>
      <diagonal/>
    </border>
    <border>
      <left style="medium">
        <color auto="1"/>
      </left>
      <right style="medium">
        <color indexed="8"/>
      </right>
      <top/>
      <bottom style="medium">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indexed="8"/>
      </left>
      <right/>
      <top style="medium">
        <color auto="1"/>
      </top>
      <bottom/>
      <diagonal/>
    </border>
    <border>
      <left style="medium">
        <color indexed="8"/>
      </left>
      <right style="medium">
        <color indexed="8"/>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medium">
        <color indexed="8"/>
      </left>
      <right style="medium">
        <color indexed="8"/>
      </right>
      <top style="medium">
        <color auto="1"/>
      </top>
      <bottom style="thin">
        <color indexed="8"/>
      </bottom>
      <diagonal/>
    </border>
    <border>
      <left style="medium">
        <color indexed="8"/>
      </left>
      <right/>
      <top style="medium">
        <color auto="1"/>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bottom/>
      <diagonal/>
    </border>
    <border>
      <left style="medium">
        <color indexed="8"/>
      </left>
      <right style="medium">
        <color indexed="8"/>
      </right>
      <top/>
      <bottom style="medium">
        <color indexed="8"/>
      </bottom>
      <diagonal/>
    </border>
    <border>
      <left style="medium">
        <color auto="1"/>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style="medium">
        <color auto="1"/>
      </left>
      <right style="medium">
        <color indexed="8"/>
      </right>
      <top style="medium">
        <color indexed="8"/>
      </top>
      <bottom/>
      <diagonal/>
    </border>
    <border>
      <left style="medium">
        <color auto="1"/>
      </left>
      <right/>
      <top/>
      <bottom style="medium">
        <color auto="1"/>
      </bottom>
      <diagonal/>
    </border>
    <border>
      <left/>
      <right/>
      <top/>
      <bottom style="medium">
        <color auto="1"/>
      </bottom>
      <diagonal/>
    </border>
    <border>
      <left style="medium">
        <color indexed="8"/>
      </left>
      <right/>
      <top/>
      <bottom style="medium">
        <color indexed="8"/>
      </bottom>
      <diagonal/>
    </border>
    <border>
      <left style="medium">
        <color indexed="8"/>
      </left>
      <right style="medium">
        <color indexed="8"/>
      </right>
      <top style="medium">
        <color indexed="8"/>
      </top>
      <bottom style="thin">
        <color indexed="8"/>
      </bottom>
      <diagonal/>
    </border>
    <border>
      <left style="medium">
        <color auto="1"/>
      </left>
      <right style="medium">
        <color indexed="8"/>
      </right>
      <top/>
      <bottom style="medium">
        <color indexed="8"/>
      </bottom>
      <diagonal/>
    </border>
    <border>
      <left style="medium">
        <color indexed="8"/>
      </left>
      <right/>
      <top/>
      <bottom/>
      <diagonal/>
    </border>
    <border>
      <left style="medium">
        <color auto="1"/>
      </left>
      <right style="medium">
        <color indexed="8"/>
      </right>
      <top style="medium">
        <color indexed="8"/>
      </top>
      <bottom style="medium">
        <color auto="1"/>
      </bottom>
      <diagonal/>
    </border>
    <border>
      <left style="medium">
        <color indexed="8"/>
      </left>
      <right style="medium">
        <color indexed="8"/>
      </right>
      <top style="medium">
        <color indexed="8"/>
      </top>
      <bottom style="medium">
        <color auto="1"/>
      </bottom>
      <diagonal/>
    </border>
    <border>
      <left style="medium">
        <color indexed="8"/>
      </left>
      <right style="medium">
        <color auto="1"/>
      </right>
      <top/>
      <bottom/>
      <diagonal/>
    </border>
    <border>
      <left style="medium">
        <color auto="1"/>
      </left>
      <right/>
      <top/>
      <bottom/>
      <diagonal/>
    </border>
    <border>
      <left style="medium">
        <color indexed="8"/>
      </left>
      <right style="medium">
        <color indexed="8"/>
      </right>
      <top/>
      <bottom/>
      <diagonal/>
    </border>
    <border>
      <left/>
      <right/>
      <top style="medium">
        <color indexed="8"/>
      </top>
      <bottom style="medium">
        <color indexed="8"/>
      </bottom>
      <diagonal/>
    </border>
    <border>
      <left style="medium">
        <color auto="1"/>
      </left>
      <right/>
      <top style="medium">
        <color indexed="8"/>
      </top>
      <bottom style="medium">
        <color indexed="8"/>
      </bottom>
      <diagonal/>
    </border>
    <border>
      <left style="medium">
        <color auto="1"/>
      </left>
      <right style="medium">
        <color indexed="8"/>
      </right>
      <top style="medium">
        <color indexed="8"/>
      </top>
      <bottom style="medium">
        <color auto="1"/>
      </bottom>
      <diagonal/>
    </border>
    <border>
      <left style="medium">
        <color indexed="8"/>
      </left>
      <right style="medium">
        <color indexed="8"/>
      </right>
      <top style="medium">
        <color indexed="8"/>
      </top>
      <bottom style="medium">
        <color auto="1"/>
      </bottom>
      <diagonal/>
    </border>
    <border>
      <left/>
      <right/>
      <top style="medium">
        <color auto="1"/>
      </top>
      <bottom style="medium">
        <color auto="1"/>
      </bottom>
      <diagonal/>
    </border>
    <border>
      <left style="medium">
        <color auto="1"/>
      </left>
      <right style="hair">
        <color indexed="8"/>
      </right>
      <top style="hair">
        <color indexed="8"/>
      </top>
      <bottom style="hair">
        <color indexed="8"/>
      </bottom>
      <diagonal/>
    </border>
    <border>
      <left style="medium">
        <color auto="1"/>
      </left>
      <right style="hair">
        <color indexed="8"/>
      </right>
      <top style="hair">
        <color indexed="8"/>
      </top>
      <bottom/>
      <diagonal/>
    </border>
    <border>
      <left style="medium">
        <color auto="1"/>
      </left>
      <right/>
      <top style="medium">
        <color auto="1"/>
      </top>
      <bottom style="medium">
        <color auto="1"/>
      </bottom>
      <diagonal/>
    </border>
    <border>
      <left style="thin">
        <color indexed="8"/>
      </left>
      <right style="medium">
        <color indexed="8"/>
      </right>
      <top style="medium">
        <color rgb="FFFF0000"/>
      </top>
      <bottom style="thin">
        <color indexed="8"/>
      </bottom>
      <diagonal/>
    </border>
    <border>
      <left style="medium">
        <color indexed="8"/>
      </left>
      <right style="medium">
        <color indexed="8"/>
      </right>
      <top style="medium">
        <color rgb="FFFF0000"/>
      </top>
      <bottom style="thin">
        <color indexed="8"/>
      </bottom>
      <diagonal/>
    </border>
    <border>
      <left/>
      <right style="medium">
        <color indexed="8"/>
      </right>
      <top style="thin">
        <color indexed="8"/>
      </top>
      <bottom style="medium">
        <color rgb="FFFF0000"/>
      </bottom>
      <diagonal/>
    </border>
    <border>
      <left style="medium">
        <color indexed="8"/>
      </left>
      <right style="medium">
        <color indexed="8"/>
      </right>
      <top style="thin">
        <color indexed="8"/>
      </top>
      <bottom style="medium">
        <color rgb="FFFF0000"/>
      </bottom>
      <diagonal/>
    </border>
    <border>
      <left/>
      <right/>
      <top style="medium">
        <color auto="1"/>
      </top>
      <bottom/>
      <diagonal/>
    </border>
    <border>
      <left/>
      <right style="thin">
        <color indexed="8"/>
      </right>
      <top/>
      <bottom style="thin">
        <color indexed="8"/>
      </bottom>
      <diagonal/>
    </border>
    <border>
      <left style="medium">
        <color auto="1"/>
      </left>
      <right/>
      <top style="medium">
        <color auto="1"/>
      </top>
      <bottom style="thin">
        <color auto="1"/>
      </bottom>
      <diagonal/>
    </border>
    <border>
      <left style="medium">
        <color auto="1"/>
      </left>
      <right style="thin">
        <color indexed="8"/>
      </right>
      <top/>
      <bottom/>
      <diagonal/>
    </border>
    <border>
      <left style="medium">
        <color auto="1"/>
      </left>
      <right/>
      <top/>
      <bottom style="thin">
        <color indexed="8"/>
      </bottom>
      <diagonal/>
    </border>
    <border>
      <left/>
      <right/>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indexed="8"/>
      </right>
      <top style="medium">
        <color auto="1"/>
      </top>
      <bottom/>
      <diagonal/>
    </border>
    <border>
      <left style="medium">
        <color indexed="8"/>
      </left>
      <right/>
      <top style="medium">
        <color auto="1"/>
      </top>
      <bottom/>
      <diagonal/>
    </border>
    <border>
      <left style="medium">
        <color indexed="8"/>
      </left>
      <right style="medium">
        <color indexed="8"/>
      </right>
      <top style="medium">
        <color auto="1"/>
      </top>
      <bottom/>
      <diagonal/>
    </border>
    <border>
      <left style="medium">
        <color auto="1"/>
      </left>
      <right style="thin">
        <color indexed="8"/>
      </right>
      <top style="medium">
        <color rgb="FFFF0000"/>
      </top>
      <bottom/>
      <diagonal/>
    </border>
    <border>
      <left style="medium">
        <color indexed="8"/>
      </left>
      <right style="medium">
        <color auto="1"/>
      </right>
      <top style="medium">
        <color rgb="FFFF0000"/>
      </top>
      <bottom style="thin">
        <color indexed="8"/>
      </bottom>
      <diagonal/>
    </border>
    <border>
      <left style="medium">
        <color indexed="8"/>
      </left>
      <right style="medium">
        <color auto="1"/>
      </right>
      <top style="thin">
        <color indexed="8"/>
      </top>
      <bottom style="medium">
        <color rgb="FFFF0000"/>
      </bottom>
      <diagonal/>
    </border>
    <border>
      <left/>
      <right style="medium">
        <color indexed="8"/>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top/>
      <bottom/>
      <diagonal/>
    </border>
    <border>
      <left style="thin">
        <color auto="1"/>
      </left>
      <right style="thin">
        <color auto="1"/>
      </right>
      <top style="thin">
        <color indexed="8"/>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right/>
      <top style="thin">
        <color indexed="8"/>
      </top>
      <bottom style="medium">
        <color theme="0"/>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indexed="8"/>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right/>
      <top style="medium">
        <color rgb="FFFFFFFF"/>
      </top>
      <bottom/>
      <diagonal/>
    </border>
    <border>
      <left/>
      <right/>
      <top/>
      <bottom style="medium">
        <color rgb="FFFFFFFF"/>
      </bottom>
      <diagonal/>
    </border>
    <border>
      <left style="thin">
        <color indexed="8"/>
      </left>
      <right style="hair">
        <color indexed="8"/>
      </right>
      <top/>
      <bottom style="hair">
        <color indexed="8"/>
      </bottom>
      <diagonal/>
    </border>
    <border>
      <left/>
      <right style="medium">
        <color indexed="8"/>
      </right>
      <top style="thin">
        <color auto="1"/>
      </top>
      <bottom style="medium">
        <color indexed="8"/>
      </bottom>
      <diagonal/>
    </border>
    <border>
      <left style="medium">
        <color indexed="8"/>
      </left>
      <right style="thin">
        <color auto="1"/>
      </right>
      <top/>
      <bottom style="thin">
        <color auto="1"/>
      </bottom>
      <diagonal/>
    </border>
    <border>
      <left style="thin">
        <color indexed="8"/>
      </left>
      <right/>
      <top/>
      <bottom style="hair">
        <color indexed="8"/>
      </bottom>
      <diagonal/>
    </border>
    <border>
      <left style="thin">
        <color auto="1"/>
      </left>
      <right style="thin">
        <color auto="1"/>
      </right>
      <top/>
      <bottom style="hair">
        <color indexed="8"/>
      </bottom>
      <diagonal/>
    </border>
    <border>
      <left/>
      <right style="hair">
        <color indexed="8"/>
      </right>
      <top style="hair">
        <color indexed="8"/>
      </top>
      <bottom style="hair">
        <color indexed="8"/>
      </bottom>
      <diagonal/>
    </border>
    <border>
      <left style="medium">
        <color auto="1"/>
      </left>
      <right style="medium">
        <color auto="1"/>
      </right>
      <top style="thin">
        <color indexed="8"/>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style="thin">
        <color theme="0" tint="-4.9989318521683403E-2"/>
      </right>
      <top/>
      <bottom style="medium">
        <color theme="0"/>
      </bottom>
      <diagonal/>
    </border>
    <border>
      <left style="thin">
        <color theme="0" tint="-4.9989318521683403E-2"/>
      </left>
      <right/>
      <top style="thin">
        <color theme="0"/>
      </top>
      <bottom style="thin">
        <color theme="0"/>
      </bottom>
      <diagonal/>
    </border>
    <border>
      <left style="thin">
        <color theme="0" tint="-4.9989318521683403E-2"/>
      </left>
      <right/>
      <top/>
      <bottom style="medium">
        <color theme="0"/>
      </bottom>
      <diagonal/>
    </border>
    <border>
      <left style="medium">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8"/>
      </left>
      <right style="hair">
        <color theme="0" tint="-4.9989318521683403E-2"/>
      </right>
      <top style="thin">
        <color indexed="8"/>
      </top>
      <bottom style="medium">
        <color theme="0" tint="-4.9989318521683403E-2"/>
      </bottom>
      <diagonal/>
    </border>
    <border>
      <left style="hair">
        <color theme="0" tint="-4.9989318521683403E-2"/>
      </left>
      <right style="hair">
        <color theme="0" tint="-4.9989318521683403E-2"/>
      </right>
      <top style="thin">
        <color indexed="8"/>
      </top>
      <bottom style="medium">
        <color theme="0" tint="-4.9989318521683403E-2"/>
      </bottom>
      <diagonal/>
    </border>
    <border>
      <left style="thin">
        <color indexed="8"/>
      </left>
      <right/>
      <top style="medium">
        <color indexed="8"/>
      </top>
      <bottom style="thin">
        <color theme="0" tint="-4.9989318521683403E-2"/>
      </bottom>
      <diagonal/>
    </border>
    <border>
      <left/>
      <right/>
      <top style="medium">
        <color indexed="8"/>
      </top>
      <bottom style="thin">
        <color theme="0" tint="-4.9989318521683403E-2"/>
      </bottom>
      <diagonal/>
    </border>
    <border>
      <left/>
      <right style="thin">
        <color indexed="8"/>
      </right>
      <top style="medium">
        <color indexed="8"/>
      </top>
      <bottom style="thin">
        <color theme="0" tint="-4.9989318521683403E-2"/>
      </bottom>
      <diagonal/>
    </border>
    <border>
      <left style="medium">
        <color indexed="8"/>
      </left>
      <right style="medium">
        <color indexed="8"/>
      </right>
      <top style="medium">
        <color indexed="8"/>
      </top>
      <bottom style="thin">
        <color theme="0" tint="-4.9989318521683403E-2"/>
      </bottom>
      <diagonal/>
    </border>
    <border>
      <left/>
      <right style="medium">
        <color indexed="8"/>
      </right>
      <top style="medium">
        <color indexed="8"/>
      </top>
      <bottom style="thin">
        <color theme="0" tint="-4.9989318521683403E-2"/>
      </bottom>
      <diagonal/>
    </border>
    <border>
      <left style="hair">
        <color indexed="8"/>
      </left>
      <right style="medium">
        <color auto="1"/>
      </right>
      <top style="thin">
        <color indexed="8"/>
      </top>
      <bottom style="hair">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8"/>
      </right>
      <top style="medium">
        <color auto="1"/>
      </top>
      <bottom style="thin">
        <color indexed="8"/>
      </bottom>
      <diagonal/>
    </border>
    <border>
      <left/>
      <right style="hair">
        <color indexed="8"/>
      </right>
      <top style="hair">
        <color indexed="8"/>
      </top>
      <bottom style="medium">
        <color auto="1"/>
      </bottom>
      <diagonal/>
    </border>
    <border>
      <left style="medium">
        <color auto="1"/>
      </left>
      <right/>
      <top/>
      <bottom style="thin">
        <color auto="1"/>
      </bottom>
      <diagonal/>
    </border>
    <border>
      <left/>
      <right style="thin">
        <color indexed="8"/>
      </right>
      <top style="thin">
        <color auto="1"/>
      </top>
      <bottom/>
      <diagonal/>
    </border>
    <border>
      <left style="thin">
        <color indexed="8"/>
      </left>
      <right style="thin">
        <color auto="1"/>
      </right>
      <top style="thin">
        <color auto="1"/>
      </top>
      <bottom style="thin">
        <color indexed="8"/>
      </bottom>
      <diagonal/>
    </border>
    <border>
      <left/>
      <right style="thin">
        <color indexed="8"/>
      </right>
      <top/>
      <bottom style="thin">
        <color auto="1"/>
      </bottom>
      <diagonal/>
    </border>
    <border>
      <left style="thin">
        <color indexed="8"/>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indexed="10"/>
      </left>
      <right style="thin">
        <color indexed="10"/>
      </right>
      <top style="thin">
        <color indexed="10"/>
      </top>
      <bottom style="thin">
        <color indexed="10"/>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thin">
        <color auto="1"/>
      </bottom>
      <diagonal/>
    </border>
    <border>
      <left style="medium">
        <color indexed="8"/>
      </left>
      <right/>
      <top style="medium">
        <color indexed="8"/>
      </top>
      <bottom style="medium">
        <color auto="1"/>
      </bottom>
      <diagonal/>
    </border>
    <border>
      <left/>
      <right style="medium">
        <color auto="1"/>
      </right>
      <top style="medium">
        <color auto="1"/>
      </top>
      <bottom style="thin">
        <color auto="1"/>
      </bottom>
      <diagonal/>
    </border>
    <border>
      <left style="thin">
        <color indexed="8"/>
      </left>
      <right style="medium">
        <color auto="1"/>
      </right>
      <top style="medium">
        <color auto="1"/>
      </top>
      <bottom/>
      <diagonal/>
    </border>
    <border>
      <left style="medium">
        <color auto="1"/>
      </left>
      <right/>
      <top style="thin">
        <color indexed="8"/>
      </top>
      <bottom/>
      <diagonal/>
    </border>
    <border>
      <left style="medium">
        <color auto="1"/>
      </left>
      <right/>
      <top style="thin">
        <color auto="1"/>
      </top>
      <bottom/>
      <diagonal/>
    </border>
    <border>
      <left style="thin">
        <color indexed="8"/>
      </left>
      <right style="medium">
        <color auto="1"/>
      </right>
      <top/>
      <bottom/>
      <diagonal/>
    </border>
    <border>
      <left style="medium">
        <color auto="1"/>
      </left>
      <right/>
      <top style="hair">
        <color indexed="8"/>
      </top>
      <bottom style="hair">
        <color auto="1"/>
      </bottom>
      <diagonal/>
    </border>
    <border>
      <left/>
      <right/>
      <top style="thin">
        <color auto="1"/>
      </top>
      <bottom style="medium">
        <color auto="1"/>
      </bottom>
      <diagonal/>
    </border>
    <border>
      <left/>
      <right style="hair">
        <color indexed="8"/>
      </right>
      <top/>
      <bottom style="hair">
        <color indexed="8"/>
      </bottom>
      <diagonal/>
    </border>
    <border>
      <left style="hair">
        <color indexed="8"/>
      </left>
      <right style="hair">
        <color indexed="8"/>
      </right>
      <top/>
      <bottom style="medium">
        <color indexed="8"/>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indexed="8"/>
      </left>
      <right/>
      <top/>
      <bottom style="medium">
        <color auto="1"/>
      </bottom>
      <diagonal/>
    </border>
    <border>
      <left style="medium">
        <color auto="1"/>
      </left>
      <right/>
      <top style="medium">
        <color indexed="8"/>
      </top>
      <bottom/>
      <diagonal/>
    </border>
    <border>
      <left style="medium">
        <color auto="1"/>
      </left>
      <right/>
      <top style="medium">
        <color indexed="8"/>
      </top>
      <bottom style="medium">
        <color auto="1"/>
      </bottom>
      <diagonal/>
    </border>
    <border>
      <left style="hair">
        <color indexed="8"/>
      </left>
      <right style="hair">
        <color indexed="8"/>
      </right>
      <top/>
      <bottom style="medium">
        <color auto="1"/>
      </bottom>
      <diagonal/>
    </border>
    <border>
      <left/>
      <right style="thin">
        <color indexed="8"/>
      </right>
      <top style="thin">
        <color indexed="8"/>
      </top>
      <bottom style="thin">
        <color auto="1"/>
      </bottom>
      <diagonal/>
    </border>
    <border>
      <left style="thin">
        <color theme="0" tint="-4.9989318521683403E-2"/>
      </left>
      <right style="medium">
        <color theme="0"/>
      </right>
      <top style="thin">
        <color theme="0"/>
      </top>
      <bottom style="thin">
        <color theme="0"/>
      </bottom>
      <diagonal/>
    </border>
    <border>
      <left/>
      <right style="medium">
        <color theme="0"/>
      </right>
      <top style="thin">
        <color theme="0"/>
      </top>
      <bottom style="thin">
        <color theme="0"/>
      </bottom>
      <diagonal/>
    </border>
    <border>
      <left style="medium">
        <color auto="1"/>
      </left>
      <right style="medium">
        <color auto="1"/>
      </right>
      <top style="thin">
        <color auto="1"/>
      </top>
      <bottom/>
      <diagonal/>
    </border>
    <border>
      <left style="thin">
        <color indexed="8"/>
      </left>
      <right/>
      <top style="thin">
        <color indexed="8"/>
      </top>
      <bottom style="medium">
        <color auto="1"/>
      </bottom>
      <diagonal/>
    </border>
    <border>
      <left/>
      <right style="medium">
        <color indexed="8"/>
      </right>
      <top/>
      <bottom style="medium">
        <color auto="1"/>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medium">
        <color auto="1"/>
      </left>
      <right/>
      <top style="thin">
        <color indexed="8"/>
      </top>
      <bottom style="medium">
        <color indexed="8"/>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indexed="8"/>
      </left>
      <right style="medium">
        <color indexed="8"/>
      </right>
      <top/>
      <bottom style="medium">
        <color auto="1"/>
      </bottom>
      <diagonal/>
    </border>
    <border>
      <left style="thin">
        <color auto="1"/>
      </left>
      <right style="thin">
        <color indexed="8"/>
      </right>
      <top style="medium">
        <color auto="1"/>
      </top>
      <bottom/>
      <diagonal/>
    </border>
    <border>
      <left style="medium">
        <color indexed="8"/>
      </left>
      <right style="medium">
        <color indexed="8"/>
      </right>
      <top style="thin">
        <color auto="1"/>
      </top>
      <bottom style="medium">
        <color auto="1"/>
      </bottom>
      <diagonal/>
    </border>
    <border>
      <left/>
      <right style="thin">
        <color indexed="8"/>
      </right>
      <top style="medium">
        <color auto="1"/>
      </top>
      <bottom style="thin">
        <color auto="1"/>
      </bottom>
      <diagonal/>
    </border>
    <border>
      <left/>
      <right style="thin">
        <color indexed="8"/>
      </right>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style="hair">
        <color auto="1"/>
      </top>
      <bottom style="hair">
        <color indexed="8"/>
      </bottom>
      <diagonal/>
    </border>
    <border>
      <left/>
      <right style="thin">
        <color indexed="8"/>
      </right>
      <top/>
      <bottom style="hair">
        <color indexed="8"/>
      </bottom>
      <diagonal/>
    </border>
    <border>
      <left/>
      <right style="thin">
        <color indexed="8"/>
      </right>
      <top style="thin">
        <color theme="1"/>
      </top>
      <bottom style="thin">
        <color theme="1"/>
      </bottom>
      <diagonal/>
    </border>
    <border>
      <left style="medium">
        <color theme="1"/>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auto="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diagonal/>
    </border>
    <border>
      <left style="thin">
        <color theme="1"/>
      </left>
      <right style="medium">
        <color auto="1"/>
      </right>
      <top style="thin">
        <color theme="1"/>
      </top>
      <bottom/>
      <diagonal/>
    </border>
    <border>
      <left style="medium">
        <color auto="1"/>
      </left>
      <right style="thin">
        <color theme="1"/>
      </right>
      <top/>
      <bottom style="thin">
        <color theme="1"/>
      </bottom>
      <diagonal/>
    </border>
    <border>
      <left style="thin">
        <color theme="1"/>
      </left>
      <right style="medium">
        <color auto="1"/>
      </right>
      <top/>
      <bottom style="thin">
        <color theme="1"/>
      </bottom>
      <diagonal/>
    </border>
    <border>
      <left style="medium">
        <color auto="1"/>
      </left>
      <right style="thin">
        <color theme="1"/>
      </right>
      <top/>
      <bottom style="medium">
        <color auto="1"/>
      </bottom>
      <diagonal/>
    </border>
    <border>
      <left style="thin">
        <color theme="1"/>
      </left>
      <right style="medium">
        <color auto="1"/>
      </right>
      <top/>
      <bottom style="medium">
        <color auto="1"/>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right style="medium">
        <color indexed="8"/>
      </right>
      <top style="thin">
        <color indexed="8"/>
      </top>
      <bottom style="medium">
        <color indexed="8"/>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indexed="8"/>
      </right>
      <top style="medium">
        <color auto="1"/>
      </top>
      <bottom style="medium">
        <color auto="1"/>
      </bottom>
      <diagonal/>
    </border>
    <border>
      <left style="thin">
        <color indexed="8"/>
      </left>
      <right style="medium">
        <color auto="1"/>
      </right>
      <top style="hair">
        <color indexed="8"/>
      </top>
      <bottom style="hair">
        <color indexed="8"/>
      </bottom>
      <diagonal/>
    </border>
    <border>
      <left style="medium">
        <color auto="1"/>
      </left>
      <right style="thin">
        <color theme="1"/>
      </right>
      <top/>
      <bottom/>
      <diagonal/>
    </border>
    <border>
      <left style="thin">
        <color theme="1"/>
      </left>
      <right style="medium">
        <color auto="1"/>
      </right>
      <top/>
      <bottom/>
      <diagonal/>
    </border>
    <border>
      <left/>
      <right style="thin">
        <color theme="0" tint="-4.9989318521683403E-2"/>
      </right>
      <top style="thin">
        <color theme="0"/>
      </top>
      <bottom style="thin">
        <color theme="0"/>
      </bottom>
      <diagonal/>
    </border>
    <border>
      <left/>
      <right style="thin">
        <color theme="0" tint="-4.9989318521683403E-2"/>
      </right>
      <top/>
      <bottom style="medium">
        <color theme="0"/>
      </bottom>
      <diagonal/>
    </border>
    <border>
      <left/>
      <right style="hair">
        <color indexed="8"/>
      </right>
      <top style="thin">
        <color indexed="8"/>
      </top>
      <bottom style="medium">
        <color indexed="8"/>
      </bottom>
      <diagonal/>
    </border>
    <border>
      <left style="hair">
        <color indexed="8"/>
      </left>
      <right style="thin">
        <color auto="1"/>
      </right>
      <top/>
      <bottom style="hair">
        <color indexed="8"/>
      </bottom>
      <diagonal/>
    </border>
    <border>
      <left style="hair">
        <color indexed="8"/>
      </left>
      <right style="thin">
        <color auto="1"/>
      </right>
      <top style="thin">
        <color indexed="8"/>
      </top>
      <bottom style="medium">
        <color indexed="8"/>
      </bottom>
      <diagonal/>
    </border>
    <border>
      <left style="medium">
        <color theme="0"/>
      </left>
      <right style="thin">
        <color auto="1"/>
      </right>
      <top style="thin">
        <color theme="0"/>
      </top>
      <bottom style="thin">
        <color theme="0"/>
      </bottom>
      <diagonal/>
    </border>
    <border>
      <left style="medium">
        <color theme="0"/>
      </left>
      <right style="thin">
        <color auto="1"/>
      </right>
      <top/>
      <bottom style="medium">
        <color theme="0"/>
      </bottom>
      <diagonal/>
    </border>
    <border>
      <left/>
      <right style="thin">
        <color auto="1"/>
      </right>
      <top style="medium">
        <color theme="0"/>
      </top>
      <bottom style="medium">
        <color theme="0"/>
      </bottom>
      <diagonal/>
    </border>
    <border>
      <left style="thin">
        <color auto="1"/>
      </left>
      <right style="medium">
        <color auto="1"/>
      </right>
      <top/>
      <bottom/>
      <diagonal/>
    </border>
    <border>
      <left style="hair">
        <color auto="1"/>
      </left>
      <right/>
      <top style="hair">
        <color auto="1"/>
      </top>
      <bottom style="hair">
        <color auto="1"/>
      </bottom>
      <diagonal/>
    </border>
    <border>
      <left style="hair">
        <color auto="1"/>
      </left>
      <right/>
      <top/>
      <bottom style="hair">
        <color auto="1"/>
      </bottom>
      <diagonal/>
    </border>
    <border>
      <left/>
      <right/>
      <top style="thin">
        <color theme="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8"/>
      </top>
      <bottom style="hair">
        <color indexed="8"/>
      </bottom>
      <diagonal/>
    </border>
    <border>
      <left/>
      <right/>
      <top style="hair">
        <color indexed="8"/>
      </top>
      <bottom/>
      <diagonal/>
    </border>
    <border>
      <left/>
      <right/>
      <top/>
      <bottom style="hair">
        <color indexed="8"/>
      </bottom>
      <diagonal/>
    </border>
    <border>
      <left/>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indexed="64"/>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thin">
        <color indexed="8"/>
      </left>
      <right style="thin">
        <color indexed="8"/>
      </right>
      <top/>
      <bottom style="thin">
        <color indexed="8"/>
      </bottom>
      <diagonal/>
    </border>
    <border>
      <left/>
      <right style="hair">
        <color indexed="8"/>
      </right>
      <top/>
      <bottom/>
      <diagonal/>
    </border>
    <border>
      <left/>
      <right style="hair">
        <color indexed="8"/>
      </right>
      <top style="hair">
        <color indexed="8"/>
      </top>
      <bottom/>
      <diagonal/>
    </border>
    <border>
      <left/>
      <right style="hair">
        <color indexed="8"/>
      </right>
      <top style="hair">
        <color indexed="8"/>
      </top>
      <bottom style="thin">
        <color indexed="8"/>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medium">
        <color indexed="64"/>
      </bottom>
      <diagonal/>
    </border>
    <border>
      <left style="hair">
        <color auto="1"/>
      </left>
      <right style="hair">
        <color auto="1"/>
      </right>
      <top style="hair">
        <color auto="1"/>
      </top>
      <bottom/>
      <diagonal/>
    </border>
    <border>
      <left style="hair">
        <color indexed="8"/>
      </left>
      <right style="medium">
        <color indexed="64"/>
      </right>
      <top style="hair">
        <color indexed="8"/>
      </top>
      <bottom style="hair">
        <color indexed="8"/>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theme="1"/>
      </top>
      <bottom/>
      <diagonal/>
    </border>
    <border>
      <left style="medium">
        <color indexed="64"/>
      </left>
      <right style="medium">
        <color indexed="64"/>
      </right>
      <top style="thin">
        <color auto="1"/>
      </top>
      <bottom style="medium">
        <color theme="1"/>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medium">
        <color theme="1"/>
      </top>
      <bottom style="thin">
        <color indexed="8"/>
      </bottom>
      <diagonal/>
    </border>
    <border>
      <left style="medium">
        <color indexed="64"/>
      </left>
      <right style="medium">
        <color indexed="8"/>
      </right>
      <top style="medium">
        <color theme="1"/>
      </top>
      <bottom style="thin">
        <color indexed="8"/>
      </bottom>
      <diagonal/>
    </border>
    <border>
      <left style="medium">
        <color indexed="64"/>
      </left>
      <right style="medium">
        <color indexed="8"/>
      </right>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auto="1"/>
      </bottom>
      <diagonal/>
    </border>
    <border>
      <left/>
      <right style="medium">
        <color indexed="8"/>
      </right>
      <top style="medium">
        <color auto="1"/>
      </top>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64"/>
      </left>
      <right style="hair">
        <color indexed="64"/>
      </right>
      <top style="medium">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hair">
        <color indexed="8"/>
      </left>
      <right style="hair">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thin">
        <color auto="1"/>
      </right>
      <top/>
      <bottom style="thin">
        <color auto="1"/>
      </bottom>
      <diagonal/>
    </border>
    <border>
      <left/>
      <right style="hair">
        <color indexed="8"/>
      </right>
      <top/>
      <bottom style="thin">
        <color indexed="8"/>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theme="0"/>
      </left>
      <right style="thin">
        <color auto="1"/>
      </right>
      <top/>
      <bottom/>
      <diagonal/>
    </border>
    <border>
      <left style="medium">
        <color indexed="64"/>
      </left>
      <right style="thin">
        <color auto="1"/>
      </right>
      <top/>
      <bottom/>
      <diagonal/>
    </border>
    <border>
      <left/>
      <right style="thin">
        <color theme="0"/>
      </right>
      <top/>
      <bottom/>
      <diagonal/>
    </border>
    <border>
      <left style="hair">
        <color indexed="8"/>
      </left>
      <right style="hair">
        <color indexed="8"/>
      </right>
      <top style="thin">
        <color indexed="8"/>
      </top>
      <bottom style="hair">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auto="1"/>
      </left>
      <right/>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8"/>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16"/>
      </left>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8"/>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auto="1"/>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top/>
      <bottom style="medium">
        <color indexed="64"/>
      </bottom>
      <diagonal/>
    </border>
    <border>
      <left/>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8"/>
      </left>
      <right style="thin">
        <color indexed="8"/>
      </right>
      <top style="medium">
        <color indexed="64"/>
      </top>
      <bottom style="thin">
        <color indexed="16"/>
      </bottom>
      <diagonal/>
    </border>
    <border>
      <left style="medium">
        <color indexed="64"/>
      </left>
      <right style="thin">
        <color indexed="64"/>
      </right>
      <top style="thin">
        <color indexed="64"/>
      </top>
      <bottom style="thin">
        <color indexed="64"/>
      </bottom>
      <diagonal/>
    </border>
    <border>
      <left/>
      <right style="thin">
        <color indexed="16"/>
      </right>
      <top style="thin">
        <color indexed="16"/>
      </top>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medium">
        <color indexed="8"/>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8"/>
      </right>
      <top/>
      <bottom/>
      <diagonal/>
    </border>
    <border>
      <left style="medium">
        <color auto="1"/>
      </left>
      <right/>
      <top style="thin">
        <color auto="1"/>
      </top>
      <bottom style="thin">
        <color auto="1"/>
      </bottom>
      <diagonal/>
    </border>
    <border>
      <left style="hair">
        <color indexed="8"/>
      </left>
      <right style="hair">
        <color indexed="8"/>
      </right>
      <top style="thin">
        <color indexed="8"/>
      </top>
      <bottom style="hair">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thin">
        <color auto="1"/>
      </top>
      <bottom/>
      <diagonal/>
    </border>
    <border>
      <left style="medium">
        <color indexed="8"/>
      </left>
      <right style="medium">
        <color indexed="8"/>
      </right>
      <top style="thin">
        <color indexed="8"/>
      </top>
      <bottom/>
      <diagonal/>
    </border>
    <border>
      <left style="medium">
        <color indexed="8"/>
      </left>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8"/>
      </right>
      <top style="thin">
        <color indexed="8"/>
      </top>
      <bottom style="thin">
        <color indexed="64"/>
      </bottom>
      <diagonal/>
    </border>
    <border>
      <left/>
      <right/>
      <top style="medium">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hair">
        <color indexed="8"/>
      </left>
      <right style="hair">
        <color indexed="8"/>
      </right>
      <top style="thin">
        <color indexed="8"/>
      </top>
      <bottom/>
      <diagonal/>
    </border>
    <border>
      <left style="hair">
        <color indexed="8"/>
      </left>
      <right style="hair">
        <color indexed="8"/>
      </right>
      <top/>
      <bottom style="medium">
        <color auto="1"/>
      </bottom>
      <diagonal/>
    </border>
    <border>
      <left style="medium">
        <color auto="1"/>
      </left>
      <right style="thin">
        <color auto="1"/>
      </right>
      <top/>
      <bottom/>
      <diagonal/>
    </border>
    <border>
      <left style="medium">
        <color indexed="8"/>
      </left>
      <right style="medium">
        <color indexed="8"/>
      </right>
      <top style="thin">
        <color indexed="8"/>
      </top>
      <bottom style="thin">
        <color indexed="8"/>
      </bottom>
      <diagonal/>
    </border>
    <border>
      <left/>
      <right style="medium">
        <color auto="1"/>
      </right>
      <top/>
      <bottom style="thin">
        <color auto="1"/>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diagonal/>
    </border>
    <border>
      <left style="thin">
        <color indexed="64"/>
      </left>
      <right style="thin">
        <color auto="1"/>
      </right>
      <top/>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thin">
        <color auto="1"/>
      </left>
      <right/>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medium">
        <color indexed="64"/>
      </right>
      <top style="medium">
        <color indexed="64"/>
      </top>
      <bottom style="thin">
        <color auto="1"/>
      </bottom>
      <diagonal/>
    </border>
    <border>
      <left style="medium">
        <color theme="0"/>
      </left>
      <right style="medium">
        <color theme="0"/>
      </right>
      <top style="medium">
        <color theme="0"/>
      </top>
      <bottom style="medium">
        <color theme="0"/>
      </bottom>
      <diagonal/>
    </border>
    <border>
      <left style="hair">
        <color indexed="8"/>
      </left>
      <right/>
      <top style="thin">
        <color indexed="8"/>
      </top>
      <bottom style="hair">
        <color indexed="8"/>
      </bottom>
      <diagonal/>
    </border>
    <border>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hair">
        <color auto="1"/>
      </left>
      <right style="hair">
        <color auto="1"/>
      </right>
      <top style="medium">
        <color auto="1"/>
      </top>
      <bottom style="hair">
        <color auto="1"/>
      </bottom>
      <diagonal/>
    </border>
    <border>
      <left style="medium">
        <color indexed="64"/>
      </left>
      <right/>
      <top/>
      <bottom style="medium">
        <color indexed="8"/>
      </bottom>
      <diagonal/>
    </border>
    <border>
      <left style="medium">
        <color indexed="64"/>
      </left>
      <right style="hair">
        <color indexed="8"/>
      </right>
      <top style="medium">
        <color indexed="8"/>
      </top>
      <bottom style="medium">
        <color indexed="64"/>
      </bottom>
      <diagonal/>
    </border>
    <border>
      <left/>
      <right/>
      <top/>
      <bottom style="medium">
        <color indexed="64"/>
      </bottom>
      <diagonal/>
    </border>
    <border>
      <left/>
      <right style="medium">
        <color indexed="8"/>
      </right>
      <top/>
      <bottom style="medium">
        <color indexed="64"/>
      </bottom>
      <diagonal/>
    </border>
    <border>
      <left style="hair">
        <color indexed="8"/>
      </left>
      <right/>
      <top/>
      <bottom style="medium">
        <color indexed="64"/>
      </bottom>
      <diagonal/>
    </border>
    <border>
      <left style="medium">
        <color indexed="8"/>
      </left>
      <right style="medium">
        <color indexed="8"/>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top style="medium">
        <color indexed="64"/>
      </top>
      <bottom style="medium">
        <color auto="1"/>
      </bottom>
      <diagonal/>
    </border>
    <border>
      <left style="thin">
        <color indexed="8"/>
      </left>
      <right/>
      <top style="medium">
        <color indexed="64"/>
      </top>
      <bottom style="medium">
        <color indexed="64"/>
      </bottom>
      <diagonal/>
    </border>
    <border>
      <left style="medium">
        <color auto="1"/>
      </left>
      <right/>
      <top style="medium">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hair">
        <color indexed="8"/>
      </right>
      <top/>
      <bottom style="hair">
        <color indexed="8"/>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style="thin">
        <color indexed="8"/>
      </left>
      <right style="thin">
        <color indexed="8"/>
      </right>
      <top/>
      <bottom style="thin">
        <color indexed="8"/>
      </bottom>
      <diagonal/>
    </border>
    <border>
      <left style="medium">
        <color indexed="64"/>
      </left>
      <right style="hair">
        <color indexed="8"/>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style="thin">
        <color indexed="8"/>
      </bottom>
      <diagonal/>
    </border>
    <border>
      <left style="thin">
        <color indexed="8"/>
      </left>
      <right/>
      <top style="thin">
        <color indexed="8"/>
      </top>
      <bottom style="thin">
        <color auto="1"/>
      </bottom>
      <diagonal/>
    </border>
    <border>
      <left style="hair">
        <color indexed="8"/>
      </left>
      <right style="hair">
        <color indexed="8"/>
      </right>
      <top style="thin">
        <color indexed="8"/>
      </top>
      <bottom style="hair">
        <color indexed="8"/>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medium">
        <color indexed="64"/>
      </left>
      <right style="hair">
        <color indexed="8"/>
      </right>
      <top/>
      <bottom/>
      <diagonal/>
    </border>
    <border>
      <left style="medium">
        <color indexed="64"/>
      </left>
      <right style="hair">
        <color indexed="8"/>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thin">
        <color indexed="8"/>
      </bottom>
      <diagonal/>
    </border>
    <border>
      <left style="medium">
        <color indexed="64"/>
      </left>
      <right style="hair">
        <color indexed="8"/>
      </right>
      <top style="medium">
        <color auto="1"/>
      </top>
      <bottom style="thin">
        <color auto="1"/>
      </bottom>
      <diagonal/>
    </border>
    <border>
      <left/>
      <right/>
      <top style="medium">
        <color auto="1"/>
      </top>
      <bottom style="thin">
        <color auto="1"/>
      </bottom>
      <diagonal/>
    </border>
    <border>
      <left style="hair">
        <color indexed="8"/>
      </left>
      <right/>
      <top style="medium">
        <color auto="1"/>
      </top>
      <bottom style="thin">
        <color auto="1"/>
      </bottom>
      <diagonal/>
    </border>
    <border>
      <left style="hair">
        <color indexed="8"/>
      </left>
      <right style="hair">
        <color indexed="8"/>
      </right>
      <top style="medium">
        <color auto="1"/>
      </top>
      <bottom style="thin">
        <color auto="1"/>
      </bottom>
      <diagonal/>
    </border>
    <border>
      <left style="medium">
        <color indexed="64"/>
      </left>
      <right/>
      <top style="thin">
        <color indexed="8"/>
      </top>
      <bottom style="medium">
        <color auto="1"/>
      </bottom>
      <diagonal/>
    </border>
    <border>
      <left/>
      <right/>
      <top style="thin">
        <color indexed="8"/>
      </top>
      <bottom style="medium">
        <color auto="1"/>
      </bottom>
      <diagonal/>
    </border>
    <border>
      <left style="thin">
        <color indexed="8"/>
      </left>
      <right/>
      <top style="thin">
        <color indexed="8"/>
      </top>
      <bottom style="medium">
        <color auto="1"/>
      </bottom>
      <diagonal/>
    </border>
    <border>
      <left style="thin">
        <color indexed="8"/>
      </left>
      <right/>
      <top style="thin">
        <color indexed="8"/>
      </top>
      <bottom/>
      <diagonal/>
    </border>
    <border>
      <left style="medium">
        <color indexed="64"/>
      </left>
      <right style="hair">
        <color indexed="8"/>
      </right>
      <top style="hair">
        <color indexed="8"/>
      </top>
      <bottom style="thin">
        <color indexed="8"/>
      </bottom>
      <diagonal/>
    </border>
    <border>
      <left style="medium">
        <color indexed="64"/>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medium">
        <color indexed="8"/>
      </top>
      <bottom style="thin">
        <color auto="1"/>
      </bottom>
      <diagonal/>
    </border>
    <border>
      <left style="hair">
        <color indexed="8"/>
      </left>
      <right style="thin">
        <color indexed="8"/>
      </right>
      <top style="thin">
        <color indexed="8"/>
      </top>
      <bottom style="thin">
        <color indexed="8"/>
      </bottom>
      <diagonal/>
    </border>
    <border>
      <left style="medium">
        <color indexed="64"/>
      </left>
      <right/>
      <top/>
      <bottom style="medium">
        <color indexed="64"/>
      </bottom>
      <diagonal/>
    </border>
    <border>
      <left style="medium">
        <color indexed="8"/>
      </left>
      <right/>
      <top/>
      <bottom style="medium">
        <color indexed="64"/>
      </bottom>
      <diagonal/>
    </border>
    <border>
      <left style="thin">
        <color indexed="8"/>
      </left>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indexed="64"/>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theme="1"/>
      </top>
      <bottom style="thin">
        <color indexed="8"/>
      </bottom>
      <diagonal/>
    </border>
    <border>
      <left style="thin">
        <color theme="1"/>
      </left>
      <right/>
      <top style="medium">
        <color indexed="64"/>
      </top>
      <bottom style="thin">
        <color theme="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auto="1"/>
      </right>
      <top/>
      <bottom style="medium">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17"/>
      </right>
      <top style="thin">
        <color indexed="8"/>
      </top>
      <bottom style="thin">
        <color indexed="8"/>
      </bottom>
      <diagonal/>
    </border>
    <border>
      <left/>
      <right style="thin">
        <color theme="1"/>
      </right>
      <top style="medium">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auto="1"/>
      </bottom>
      <diagonal/>
    </border>
    <border>
      <left/>
      <right style="thin">
        <color indexed="8"/>
      </right>
      <top style="thin">
        <color auto="1"/>
      </top>
      <bottom style="thin">
        <color indexed="8"/>
      </bottom>
      <diagonal/>
    </border>
    <border>
      <left/>
      <right style="thin">
        <color indexed="8"/>
      </right>
      <top style="medium">
        <color indexed="64"/>
      </top>
      <bottom style="thin">
        <color auto="1"/>
      </bottom>
      <diagonal/>
    </border>
    <border>
      <left style="thin">
        <color indexed="8"/>
      </left>
      <right style="thin">
        <color indexed="8"/>
      </right>
      <top style="medium">
        <color indexed="64"/>
      </top>
      <bottom/>
      <diagonal/>
    </border>
    <border>
      <left/>
      <right style="thin">
        <color indexed="8"/>
      </right>
      <top style="thin">
        <color auto="1"/>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auto="1"/>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style="hair">
        <color indexed="8"/>
      </bottom>
      <diagonal/>
    </border>
    <border>
      <left style="thin">
        <color indexed="8"/>
      </left>
      <right/>
      <top style="medium">
        <color auto="1"/>
      </top>
      <bottom style="thin">
        <color indexed="8"/>
      </bottom>
      <diagonal/>
    </border>
    <border>
      <left style="thin">
        <color indexed="8"/>
      </left>
      <right/>
      <top style="thin">
        <color indexed="8"/>
      </top>
      <bottom style="thin">
        <color indexed="8"/>
      </bottom>
      <diagonal/>
    </border>
    <border>
      <left style="hair">
        <color indexed="8"/>
      </left>
      <right/>
      <top style="medium">
        <color auto="1"/>
      </top>
      <bottom/>
      <diagonal/>
    </border>
    <border>
      <left style="hair">
        <color auto="1"/>
      </left>
      <right/>
      <top style="medium">
        <color auto="1"/>
      </top>
      <bottom style="hair">
        <color auto="1"/>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auto="1"/>
      </right>
      <top style="thin">
        <color indexed="8"/>
      </top>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hair">
        <color indexed="8"/>
      </left>
      <right style="hair">
        <color indexed="8"/>
      </right>
      <top style="thin">
        <color indexed="8"/>
      </top>
      <bottom style="hair">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medium">
        <color auto="1"/>
      </right>
      <top style="medium">
        <color indexed="8"/>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style="thin">
        <color indexed="8"/>
      </right>
      <top/>
      <bottom style="medium">
        <color indexed="64"/>
      </bottom>
      <diagonal/>
    </border>
    <border>
      <left style="thin">
        <color indexed="8"/>
      </left>
      <right/>
      <top style="medium">
        <color indexed="8"/>
      </top>
      <bottom style="thin">
        <color indexed="8"/>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style="thin">
        <color indexed="8"/>
      </right>
      <top style="medium">
        <color indexed="64"/>
      </top>
      <bottom style="thin">
        <color indexed="8"/>
      </bottom>
      <diagonal/>
    </border>
    <border>
      <left style="medium">
        <color indexed="64"/>
      </left>
      <right/>
      <top style="medium">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medium">
        <color indexed="64"/>
      </right>
      <top/>
      <bottom/>
      <diagonal/>
    </border>
    <border>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64"/>
      </right>
      <top style="thin">
        <color indexed="64"/>
      </top>
      <bottom style="thin">
        <color indexed="64"/>
      </bottom>
      <diagonal/>
    </border>
    <border>
      <left style="hair">
        <color indexed="8"/>
      </left>
      <right/>
      <top style="hair">
        <color indexed="8"/>
      </top>
      <bottom style="medium">
        <color indexed="8"/>
      </bottom>
      <diagonal/>
    </border>
    <border>
      <left style="medium">
        <color indexed="8"/>
      </left>
      <right/>
      <top style="medium">
        <color indexed="8"/>
      </top>
      <bottom style="medium">
        <color indexed="8"/>
      </bottom>
      <diagonal/>
    </border>
    <border>
      <left style="hair">
        <color theme="0" tint="-4.9989318521683403E-2"/>
      </left>
      <right/>
      <top style="medium">
        <color indexed="8"/>
      </top>
      <bottom style="medium">
        <color theme="0" tint="-4.9989318521683403E-2"/>
      </bottom>
      <diagonal/>
    </border>
    <border>
      <left style="medium">
        <color indexed="8"/>
      </left>
      <right/>
      <top/>
      <bottom style="medium">
        <color indexed="8"/>
      </bottom>
      <diagonal/>
    </border>
    <border>
      <left style="medium">
        <color indexed="64"/>
      </left>
      <right/>
      <top/>
      <bottom/>
      <diagonal/>
    </border>
    <border>
      <left style="thin">
        <color indexed="8"/>
      </left>
      <right style="thin">
        <color indexed="8"/>
      </right>
      <top style="medium">
        <color indexed="8"/>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8"/>
      </bottom>
      <diagonal/>
    </border>
    <border>
      <left style="medium">
        <color indexed="64"/>
      </left>
      <right style="hair">
        <color indexed="8"/>
      </right>
      <top style="medium">
        <color indexed="64"/>
      </top>
      <bottom/>
      <diagonal/>
    </border>
    <border>
      <left/>
      <right/>
      <top style="medium">
        <color indexed="64"/>
      </top>
      <bottom/>
      <diagonal/>
    </border>
    <border>
      <left style="hair">
        <color indexed="8"/>
      </left>
      <right style="hair">
        <color indexed="8"/>
      </right>
      <top style="medium">
        <color indexed="64"/>
      </top>
      <bottom/>
      <diagonal/>
    </border>
    <border>
      <left style="medium">
        <color indexed="64"/>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indexed="8"/>
      </left>
      <right style="hair">
        <color indexed="8"/>
      </right>
      <top style="medium">
        <color auto="1"/>
      </top>
      <bottom style="medium">
        <color auto="1"/>
      </bottom>
      <diagonal/>
    </border>
    <border>
      <left style="hair">
        <color indexed="8"/>
      </left>
      <right/>
      <top style="medium">
        <color auto="1"/>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8"/>
      </left>
      <right/>
      <top style="medium">
        <color indexed="8"/>
      </top>
      <bottom style="thin">
        <color indexed="8"/>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64"/>
      </top>
      <bottom style="thin">
        <color indexed="17"/>
      </bottom>
      <diagonal/>
    </border>
    <border>
      <left style="thin">
        <color indexed="17"/>
      </left>
      <right/>
      <top style="thin">
        <color indexed="17"/>
      </top>
      <bottom style="thin">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top style="medium">
        <color indexed="64"/>
      </top>
      <bottom/>
      <diagonal/>
    </border>
    <border>
      <left style="thin">
        <color indexed="8"/>
      </left>
      <right/>
      <top style="medium">
        <color indexed="64"/>
      </top>
      <bottom/>
      <diagonal/>
    </border>
    <border>
      <left style="thin">
        <color auto="1"/>
      </left>
      <right/>
      <top/>
      <bottom style="thin">
        <color indexed="8"/>
      </bottom>
      <diagonal/>
    </border>
    <border>
      <left style="thin">
        <color auto="1"/>
      </left>
      <right/>
      <top style="thin">
        <color indexed="8"/>
      </top>
      <bottom/>
      <diagonal/>
    </border>
    <border>
      <left style="thin">
        <color auto="1"/>
      </left>
      <right/>
      <top style="thin">
        <color indexed="8"/>
      </top>
      <bottom style="thin">
        <color indexed="8"/>
      </bottom>
      <diagonal/>
    </border>
    <border>
      <left style="thin">
        <color auto="1"/>
      </left>
      <right/>
      <top style="medium">
        <color indexed="8"/>
      </top>
      <bottom/>
      <diagonal/>
    </border>
    <border>
      <left style="hair">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auto="1"/>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8"/>
      </bottom>
      <diagonal/>
    </border>
    <border>
      <left/>
      <right style="thin">
        <color auto="1"/>
      </right>
      <top style="medium">
        <color indexed="64"/>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thin">
        <color indexed="8"/>
      </bottom>
      <diagonal/>
    </border>
    <border>
      <left style="medium">
        <color indexed="64"/>
      </left>
      <right style="thin">
        <color auto="1"/>
      </right>
      <top/>
      <bottom style="hair">
        <color auto="1"/>
      </bottom>
      <diagonal/>
    </border>
    <border>
      <left style="thin">
        <color auto="1"/>
      </left>
      <right style="medium">
        <color indexed="64"/>
      </right>
      <top style="thin">
        <color indexed="8"/>
      </top>
      <bottom style="thin">
        <color indexed="8"/>
      </bottom>
      <diagonal/>
    </border>
    <border>
      <left style="medium">
        <color indexed="64"/>
      </left>
      <right style="thin">
        <color auto="1"/>
      </right>
      <top style="hair">
        <color auto="1"/>
      </top>
      <bottom style="medium">
        <color indexed="64"/>
      </bottom>
      <diagonal/>
    </border>
    <border>
      <left style="thin">
        <color auto="1"/>
      </left>
      <right style="medium">
        <color indexed="64"/>
      </right>
      <top style="thin">
        <color indexed="8"/>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hair">
        <color indexed="8"/>
      </left>
      <right style="thin">
        <color indexed="8"/>
      </right>
      <top style="thin">
        <color indexed="8"/>
      </top>
      <bottom style="hair">
        <color indexed="8"/>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hair">
        <color indexed="8"/>
      </left>
      <right style="medium">
        <color indexed="8"/>
      </right>
      <top style="thin">
        <color indexed="8"/>
      </top>
      <bottom style="hair">
        <color indexed="8"/>
      </bottom>
      <diagonal/>
    </border>
    <border>
      <left/>
      <right style="thin">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style="thin">
        <color theme="0"/>
      </left>
      <right style="thin">
        <color theme="0"/>
      </right>
      <top style="medium">
        <color theme="0"/>
      </top>
      <bottom style="thin">
        <color theme="0"/>
      </bottom>
      <diagonal/>
    </border>
    <border>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thin">
        <color theme="0"/>
      </right>
      <top style="thin">
        <color theme="0"/>
      </top>
      <bottom style="medium">
        <color theme="0"/>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8"/>
      </right>
      <top style="medium">
        <color indexed="8"/>
      </top>
      <bottom style="thin">
        <color indexed="8"/>
      </bottom>
      <diagonal/>
    </border>
    <border>
      <left style="hair">
        <color indexed="8"/>
      </left>
      <right style="thin">
        <color auto="1"/>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thin">
        <color auto="1"/>
      </left>
      <right style="thin">
        <color auto="1"/>
      </right>
      <top style="thin">
        <color indexed="8"/>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indexed="64"/>
      </left>
      <right/>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style="medium">
        <color indexed="64"/>
      </left>
      <right/>
      <top style="hair">
        <color indexed="8"/>
      </top>
      <bottom style="hair">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top style="thin">
        <color indexed="8"/>
      </top>
      <bottom style="hair">
        <color indexed="8"/>
      </bottom>
      <diagonal/>
    </border>
    <border>
      <left style="thin">
        <color auto="1"/>
      </left>
      <right/>
      <top style="hair">
        <color indexed="8"/>
      </top>
      <bottom style="hair">
        <color indexed="8"/>
      </bottom>
      <diagonal/>
    </border>
    <border>
      <left style="thin">
        <color auto="1"/>
      </left>
      <right/>
      <top style="hair">
        <color indexed="8"/>
      </top>
      <bottom style="hair">
        <color auto="1"/>
      </bottom>
      <diagonal/>
    </border>
    <border>
      <left style="thin">
        <color auto="1"/>
      </left>
      <right/>
      <top style="hair">
        <color auto="1"/>
      </top>
      <bottom style="hair">
        <color indexed="8"/>
      </bottom>
      <diagonal/>
    </border>
    <border>
      <left style="thin">
        <color auto="1"/>
      </left>
      <right/>
      <top style="hair">
        <color indexed="8"/>
      </top>
      <bottom style="thin">
        <color auto="1"/>
      </bottom>
      <diagonal/>
    </border>
    <border>
      <left/>
      <right style="hair">
        <color auto="1"/>
      </right>
      <top style="hair">
        <color indexed="8"/>
      </top>
      <bottom style="hair">
        <color auto="1"/>
      </bottom>
      <diagonal/>
    </border>
    <border>
      <left/>
      <right style="hair">
        <color auto="1"/>
      </right>
      <top style="hair">
        <color auto="1"/>
      </top>
      <bottom style="hair">
        <color indexed="8"/>
      </bottom>
      <diagonal/>
    </border>
    <border>
      <left/>
      <right style="hair">
        <color indexed="8"/>
      </right>
      <top style="hair">
        <color indexed="8"/>
      </top>
      <bottom style="thin">
        <color auto="1"/>
      </bottom>
      <diagonal/>
    </border>
    <border>
      <left style="thin">
        <color indexed="8"/>
      </left>
      <right style="thin">
        <color indexed="8"/>
      </right>
      <top style="thin">
        <color auto="1"/>
      </top>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auto="1"/>
      </top>
      <bottom style="hair">
        <color indexed="8"/>
      </bottom>
      <diagonal/>
    </border>
    <border>
      <left style="thin">
        <color indexed="64"/>
      </left>
      <right style="thin">
        <color indexed="64"/>
      </right>
      <top style="hair">
        <color indexed="8"/>
      </top>
      <bottom style="thin">
        <color indexed="64"/>
      </bottom>
      <diagonal/>
    </border>
    <border>
      <left style="hair">
        <color auto="1"/>
      </left>
      <right/>
      <top style="hair">
        <color indexed="8"/>
      </top>
      <bottom style="hair">
        <color auto="1"/>
      </bottom>
      <diagonal/>
    </border>
    <border>
      <left style="hair">
        <color auto="1"/>
      </left>
      <right/>
      <top style="hair">
        <color auto="1"/>
      </top>
      <bottom style="hair">
        <color indexed="8"/>
      </bottom>
      <diagonal/>
    </border>
    <border>
      <left style="hair">
        <color indexed="8"/>
      </left>
      <right/>
      <top style="hair">
        <color indexed="8"/>
      </top>
      <bottom style="thin">
        <color auto="1"/>
      </bottom>
      <diagonal/>
    </border>
    <border>
      <left/>
      <right style="thin">
        <color indexed="8"/>
      </right>
      <top style="hair">
        <color indexed="8"/>
      </top>
      <bottom style="thin">
        <color auto="1"/>
      </bottom>
      <diagonal/>
    </border>
    <border>
      <left style="thin">
        <color indexed="64"/>
      </left>
      <right style="thin">
        <color indexed="64"/>
      </right>
      <top style="hair">
        <color indexed="8"/>
      </top>
      <bottom/>
      <diagonal/>
    </border>
    <border>
      <left/>
      <right style="thin">
        <color indexed="8"/>
      </right>
      <top style="hair">
        <color indexed="8"/>
      </top>
      <bottom/>
      <diagonal/>
    </border>
    <border>
      <left style="thin">
        <color auto="1"/>
      </left>
      <right style="thin">
        <color indexed="8"/>
      </right>
      <top style="thin">
        <color auto="1"/>
      </top>
      <bottom/>
      <diagonal/>
    </border>
    <border>
      <left style="thin">
        <color indexed="8"/>
      </left>
      <right/>
      <top style="hair">
        <color indexed="8"/>
      </top>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hair">
        <color indexed="8"/>
      </right>
      <top style="hair">
        <color indexed="8"/>
      </top>
      <bottom/>
      <diagonal/>
    </border>
    <border>
      <left style="thin">
        <color indexed="8"/>
      </left>
      <right style="thin">
        <color indexed="8"/>
      </right>
      <top style="hair">
        <color indexed="8"/>
      </top>
      <bottom/>
      <diagonal/>
    </border>
    <border>
      <left style="thin">
        <color auto="1"/>
      </left>
      <right style="thin">
        <color indexed="8"/>
      </right>
      <top style="medium">
        <color indexed="64"/>
      </top>
      <bottom style="medium">
        <color indexed="64"/>
      </bottom>
      <diagonal/>
    </border>
    <border>
      <left style="thin">
        <color indexed="8"/>
      </left>
      <right style="medium">
        <color auto="1"/>
      </right>
      <top style="medium">
        <color indexed="64"/>
      </top>
      <bottom style="medium">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medium">
        <color auto="1"/>
      </bottom>
      <diagonal/>
    </border>
    <border>
      <left style="thin">
        <color indexed="64"/>
      </left>
      <right style="slantDashDot">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01">
    <xf numFmtId="0" fontId="0" fillId="0" borderId="0"/>
    <xf numFmtId="4" fontId="59" fillId="0" borderId="0" applyFill="0" applyBorder="0" applyAlignment="0" applyProtection="0"/>
    <xf numFmtId="38" fontId="59" fillId="0" borderId="0" applyFill="0" applyBorder="0" applyAlignment="0" applyProtection="0"/>
    <xf numFmtId="40" fontId="59" fillId="0" borderId="0" applyFill="0" applyBorder="0" applyAlignment="0" applyProtection="0"/>
    <xf numFmtId="166" fontId="59"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Protection="0">
      <alignment horizontal="center"/>
    </xf>
    <xf numFmtId="167" fontId="59" fillId="0" borderId="0" applyFill="0" applyBorder="0" applyAlignment="0" applyProtection="0"/>
    <xf numFmtId="3" fontId="8" fillId="0" borderId="0" applyFill="0" applyBorder="0" applyAlignment="0"/>
    <xf numFmtId="3" fontId="8" fillId="0" borderId="0" applyFill="0" applyBorder="0" applyAlignment="0" applyProtection="0"/>
    <xf numFmtId="168" fontId="59"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3" fontId="59" fillId="0" borderId="0" applyFill="0" applyBorder="0" applyAlignment="0" applyProtection="0"/>
    <xf numFmtId="169" fontId="59" fillId="0" borderId="0" applyFill="0" applyBorder="0" applyAlignment="0" applyProtection="0"/>
    <xf numFmtId="4" fontId="59" fillId="0" borderId="0" applyFill="0" applyBorder="0" applyAlignment="0" applyProtection="0"/>
    <xf numFmtId="170" fontId="59" fillId="0" borderId="0" applyFill="0" applyBorder="0" applyAlignment="0" applyProtection="0"/>
    <xf numFmtId="171" fontId="59" fillId="0" borderId="0" applyFill="0" applyBorder="0" applyAlignment="0" applyProtection="0"/>
    <xf numFmtId="0" fontId="11" fillId="0" borderId="0"/>
    <xf numFmtId="0" fontId="59" fillId="0" borderId="0"/>
    <xf numFmtId="0" fontId="11" fillId="0" borderId="0"/>
    <xf numFmtId="9" fontId="59" fillId="0" borderId="0" applyFill="0" applyBorder="0" applyAlignment="0" applyProtection="0"/>
    <xf numFmtId="172" fontId="59" fillId="0" borderId="0" applyFill="0" applyBorder="0" applyAlignment="0" applyProtection="0"/>
    <xf numFmtId="10" fontId="59" fillId="0" borderId="0" applyFill="0" applyBorder="0" applyAlignment="0" applyProtection="0"/>
    <xf numFmtId="9" fontId="59" fillId="0" borderId="0" applyFill="0" applyBorder="0" applyAlignment="0" applyProtection="0"/>
    <xf numFmtId="173" fontId="59" fillId="0" borderId="0" applyFill="0" applyBorder="0" applyProtection="0">
      <alignment horizontal="center"/>
    </xf>
    <xf numFmtId="0" fontId="59" fillId="2"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7" fillId="0" borderId="0"/>
    <xf numFmtId="0" fontId="78" fillId="0" borderId="0"/>
    <xf numFmtId="178" fontId="78" fillId="0" borderId="0" applyFont="0" applyFill="0" applyBorder="0" applyAlignment="0" applyProtection="0"/>
    <xf numFmtId="9" fontId="77" fillId="0" borderId="0" applyFont="0" applyFill="0" applyBorder="0" applyAlignment="0" applyProtection="0"/>
    <xf numFmtId="3" fontId="78" fillId="0" borderId="0" applyFont="0" applyFill="0" applyBorder="0" applyAlignment="0" applyProtection="0"/>
    <xf numFmtId="179" fontId="86" fillId="0" borderId="0" applyFont="0" applyFill="0" applyBorder="0" applyAlignment="0" applyProtection="0"/>
    <xf numFmtId="180" fontId="8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3" fillId="0" borderId="0"/>
    <xf numFmtId="0" fontId="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3" fontId="3" fillId="0" borderId="0" applyFill="0" applyBorder="0" applyAlignment="0" applyProtection="0"/>
    <xf numFmtId="9" fontId="3" fillId="0" borderId="0" applyFill="0" applyBorder="0" applyAlignment="0" applyProtection="0"/>
    <xf numFmtId="4" fontId="3" fillId="0" borderId="0" applyFill="0" applyBorder="0" applyAlignment="0" applyProtection="0"/>
    <xf numFmtId="9" fontId="3" fillId="0" borderId="0" applyFill="0" applyBorder="0" applyAlignment="0" applyProtection="0"/>
    <xf numFmtId="4" fontId="3" fillId="0" borderId="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8" fontId="10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4" fontId="3"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165" fontId="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3269">
    <xf numFmtId="0" fontId="0" fillId="0" borderId="0" xfId="0"/>
    <xf numFmtId="0" fontId="13" fillId="0" borderId="0" xfId="0" applyFont="1"/>
    <xf numFmtId="0" fontId="0" fillId="0" borderId="0" xfId="0" applyAlignment="1">
      <alignment horizontal="center"/>
    </xf>
    <xf numFmtId="0" fontId="14" fillId="0" borderId="0" xfId="0" applyFont="1"/>
    <xf numFmtId="0" fontId="22" fillId="0" borderId="0" xfId="0" applyFont="1" applyAlignment="1">
      <alignment horizontal="center"/>
    </xf>
    <xf numFmtId="3" fontId="0" fillId="0" borderId="0" xfId="15" applyFont="1" applyFill="1" applyBorder="1" applyAlignment="1" applyProtection="1"/>
    <xf numFmtId="0" fontId="19" fillId="0" borderId="0" xfId="0" applyFont="1"/>
    <xf numFmtId="0" fontId="10" fillId="0" borderId="0" xfId="14" applyNumberFormat="1" applyFill="1" applyBorder="1" applyAlignment="1" applyProtection="1">
      <alignment horizontal="left"/>
    </xf>
    <xf numFmtId="0" fontId="25" fillId="0" borderId="0" xfId="0" applyFont="1"/>
    <xf numFmtId="0" fontId="30" fillId="0" borderId="0" xfId="0" applyFont="1"/>
    <xf numFmtId="0" fontId="20" fillId="0" borderId="0" xfId="0" applyFont="1"/>
    <xf numFmtId="4" fontId="0" fillId="0" borderId="0" xfId="17" applyFont="1" applyFill="1" applyBorder="1" applyAlignment="1" applyProtection="1"/>
    <xf numFmtId="0" fontId="0" fillId="0" borderId="0" xfId="21" applyFont="1"/>
    <xf numFmtId="3" fontId="0" fillId="0" borderId="0" xfId="21" applyNumberFormat="1" applyFont="1"/>
    <xf numFmtId="3" fontId="14" fillId="0" borderId="0" xfId="15" applyFont="1" applyFill="1" applyBorder="1" applyAlignment="1" applyProtection="1"/>
    <xf numFmtId="3" fontId="0" fillId="0" borderId="0" xfId="15" applyFont="1" applyFill="1" applyBorder="1" applyAlignment="1" applyProtection="1">
      <alignment horizontal="right"/>
    </xf>
    <xf numFmtId="9" fontId="21" fillId="0" borderId="0" xfId="26" applyFont="1" applyFill="1" applyBorder="1" applyAlignment="1" applyProtection="1">
      <alignment horizontal="right"/>
    </xf>
    <xf numFmtId="3" fontId="50" fillId="0" borderId="0" xfId="15" applyFont="1" applyFill="1" applyBorder="1" applyAlignment="1" applyProtection="1"/>
    <xf numFmtId="0" fontId="33" fillId="0" borderId="0" xfId="14" applyNumberFormat="1" applyFont="1" applyFill="1" applyBorder="1" applyAlignment="1" applyProtection="1">
      <alignment horizontal="left" vertical="center"/>
    </xf>
    <xf numFmtId="3" fontId="35" fillId="0" borderId="0" xfId="15" applyFont="1" applyFill="1" applyBorder="1" applyAlignment="1" applyProtection="1"/>
    <xf numFmtId="0" fontId="33" fillId="0" borderId="0" xfId="14" applyNumberFormat="1" applyFont="1" applyFill="1" applyBorder="1" applyAlignment="1" applyProtection="1">
      <alignment horizontal="left"/>
    </xf>
    <xf numFmtId="3" fontId="14" fillId="3" borderId="18" xfId="15" applyFont="1" applyFill="1" applyBorder="1" applyAlignment="1" applyProtection="1">
      <alignment horizontal="center"/>
    </xf>
    <xf numFmtId="3" fontId="14" fillId="0" borderId="0" xfId="15" applyFont="1" applyFill="1" applyBorder="1" applyAlignment="1" applyProtection="1">
      <alignment horizontal="center"/>
    </xf>
    <xf numFmtId="3" fontId="0" fillId="3" borderId="19" xfId="15" applyFont="1" applyFill="1" applyBorder="1" applyAlignment="1" applyProtection="1">
      <alignment horizontal="center" vertical="top" wrapText="1"/>
    </xf>
    <xf numFmtId="3" fontId="0" fillId="0" borderId="0" xfId="15" applyFont="1" applyFill="1" applyBorder="1" applyAlignment="1" applyProtection="1">
      <alignment horizontal="center" vertical="top" wrapText="1"/>
    </xf>
    <xf numFmtId="3" fontId="13" fillId="0" borderId="0" xfId="15" applyFont="1" applyFill="1" applyBorder="1" applyAlignment="1" applyProtection="1"/>
    <xf numFmtId="0" fontId="27" fillId="0" borderId="0" xfId="0" applyFont="1"/>
    <xf numFmtId="3" fontId="19" fillId="0" borderId="0" xfId="15" applyFont="1" applyFill="1" applyBorder="1" applyAlignment="1" applyProtection="1"/>
    <xf numFmtId="0" fontId="28" fillId="0" borderId="0" xfId="14" applyNumberFormat="1" applyFont="1" applyFill="1" applyBorder="1" applyAlignment="1" applyProtection="1">
      <alignment horizontal="left"/>
    </xf>
    <xf numFmtId="0" fontId="0" fillId="0" borderId="23"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vertical="top" wrapText="1"/>
    </xf>
    <xf numFmtId="0" fontId="0" fillId="3" borderId="18" xfId="0" applyFill="1" applyBorder="1" applyAlignment="1">
      <alignment horizontal="center"/>
    </xf>
    <xf numFmtId="0" fontId="30" fillId="0" borderId="0" xfId="0" applyFont="1" applyAlignment="1">
      <alignment horizontal="center"/>
    </xf>
    <xf numFmtId="3" fontId="30" fillId="0" borderId="0" xfId="0" applyNumberFormat="1" applyFont="1"/>
    <xf numFmtId="0" fontId="32" fillId="0" borderId="0" xfId="0" applyFont="1"/>
    <xf numFmtId="0" fontId="56" fillId="0" borderId="0" xfId="14" applyNumberFormat="1" applyFont="1" applyFill="1" applyBorder="1" applyAlignment="1" applyProtection="1">
      <alignment horizontal="left"/>
    </xf>
    <xf numFmtId="0" fontId="22" fillId="0" borderId="0" xfId="0" applyFont="1"/>
    <xf numFmtId="0" fontId="35" fillId="0" borderId="0" xfId="0" applyFont="1"/>
    <xf numFmtId="175" fontId="0" fillId="0" borderId="0" xfId="0" applyNumberFormat="1"/>
    <xf numFmtId="0" fontId="0" fillId="3" borderId="18" xfId="0" applyFill="1" applyBorder="1" applyAlignment="1">
      <alignment horizontal="left"/>
    </xf>
    <xf numFmtId="175" fontId="0" fillId="3" borderId="18" xfId="0" applyNumberFormat="1" applyFill="1" applyBorder="1" applyAlignment="1">
      <alignment horizontal="center"/>
    </xf>
    <xf numFmtId="0" fontId="0" fillId="0" borderId="0" xfId="0" applyAlignment="1">
      <alignment horizontal="center" vertical="top" wrapText="1"/>
    </xf>
    <xf numFmtId="175" fontId="19" fillId="0" borderId="0" xfId="0" applyNumberFormat="1" applyFont="1"/>
    <xf numFmtId="3" fontId="0" fillId="0" borderId="71" xfId="15" applyFont="1" applyFill="1" applyBorder="1" applyAlignment="1" applyProtection="1">
      <alignment horizontal="center"/>
    </xf>
    <xf numFmtId="3" fontId="0" fillId="0" borderId="56" xfId="15" applyFont="1" applyFill="1" applyBorder="1" applyAlignment="1" applyProtection="1">
      <alignment horizontal="center"/>
    </xf>
    <xf numFmtId="0" fontId="58" fillId="0" borderId="0" xfId="0" applyFont="1"/>
    <xf numFmtId="3" fontId="14" fillId="0" borderId="59" xfId="15" applyFont="1" applyFill="1" applyBorder="1" applyAlignment="1" applyProtection="1">
      <alignment horizontal="center"/>
    </xf>
    <xf numFmtId="3" fontId="0" fillId="0" borderId="24" xfId="15" applyFont="1" applyFill="1" applyBorder="1" applyAlignment="1" applyProtection="1">
      <alignment horizontal="center"/>
    </xf>
    <xf numFmtId="3" fontId="0" fillId="3" borderId="94" xfId="15" applyFont="1" applyFill="1" applyBorder="1" applyAlignment="1" applyProtection="1">
      <alignment horizontal="center" vertical="top" wrapText="1"/>
    </xf>
    <xf numFmtId="0" fontId="3" fillId="0" borderId="0" xfId="0" applyFont="1"/>
    <xf numFmtId="3" fontId="0" fillId="6" borderId="0" xfId="15" applyFont="1" applyFill="1" applyBorder="1" applyAlignment="1" applyProtection="1"/>
    <xf numFmtId="4" fontId="0" fillId="6" borderId="0" xfId="15" applyNumberFormat="1" applyFont="1" applyFill="1" applyBorder="1" applyAlignment="1" applyProtection="1"/>
    <xf numFmtId="3" fontId="0" fillId="0" borderId="0" xfId="15" quotePrefix="1" applyFont="1" applyFill="1" applyBorder="1" applyAlignment="1" applyProtection="1"/>
    <xf numFmtId="0" fontId="0" fillId="7" borderId="0" xfId="0" applyFill="1"/>
    <xf numFmtId="3" fontId="69" fillId="18" borderId="14" xfId="15" applyFont="1" applyFill="1" applyBorder="1" applyAlignment="1" applyProtection="1"/>
    <xf numFmtId="3" fontId="69" fillId="18" borderId="14" xfId="15" applyFont="1" applyFill="1" applyBorder="1" applyAlignment="1" applyProtection="1">
      <alignment horizontal="right"/>
    </xf>
    <xf numFmtId="3" fontId="0" fillId="10" borderId="0" xfId="15" applyFont="1" applyFill="1" applyBorder="1" applyAlignment="1" applyProtection="1">
      <alignment horizontal="right"/>
    </xf>
    <xf numFmtId="3" fontId="48" fillId="10" borderId="0" xfId="15" applyFont="1" applyFill="1" applyBorder="1" applyAlignment="1" applyProtection="1"/>
    <xf numFmtId="3" fontId="0" fillId="10" borderId="0" xfId="15" applyFont="1" applyFill="1" applyBorder="1" applyAlignment="1" applyProtection="1"/>
    <xf numFmtId="3" fontId="27" fillId="10" borderId="0" xfId="15" applyFont="1" applyFill="1" applyBorder="1" applyAlignment="1" applyProtection="1"/>
    <xf numFmtId="3" fontId="16" fillId="10" borderId="0" xfId="15" applyFont="1" applyFill="1" applyBorder="1" applyAlignment="1" applyProtection="1">
      <alignment horizontal="right"/>
    </xf>
    <xf numFmtId="3" fontId="0" fillId="14" borderId="0" xfId="15" applyFont="1" applyFill="1" applyBorder="1" applyAlignment="1" applyProtection="1"/>
    <xf numFmtId="3" fontId="0" fillId="14" borderId="4" xfId="15" applyFont="1" applyFill="1" applyBorder="1" applyAlignment="1" applyProtection="1"/>
    <xf numFmtId="3" fontId="16" fillId="14" borderId="0" xfId="15" applyFont="1" applyFill="1" applyBorder="1" applyAlignment="1" applyProtection="1">
      <alignment horizontal="right"/>
    </xf>
    <xf numFmtId="3" fontId="20" fillId="14" borderId="0" xfId="15" applyFont="1" applyFill="1" applyBorder="1" applyAlignment="1" applyProtection="1"/>
    <xf numFmtId="3" fontId="27" fillId="14" borderId="0" xfId="15" applyFont="1" applyFill="1" applyBorder="1" applyAlignment="1" applyProtection="1"/>
    <xf numFmtId="3" fontId="73" fillId="18" borderId="14" xfId="15" applyFont="1" applyFill="1" applyBorder="1" applyAlignment="1" applyProtection="1"/>
    <xf numFmtId="3" fontId="14" fillId="10" borderId="0" xfId="15" applyFont="1" applyFill="1" applyBorder="1" applyAlignment="1" applyProtection="1"/>
    <xf numFmtId="3" fontId="16" fillId="10" borderId="0" xfId="15" applyFont="1" applyFill="1" applyBorder="1" applyAlignment="1" applyProtection="1"/>
    <xf numFmtId="3" fontId="20" fillId="10" borderId="0" xfId="15" applyFont="1" applyFill="1" applyBorder="1" applyAlignment="1" applyProtection="1"/>
    <xf numFmtId="3" fontId="13" fillId="11" borderId="55" xfId="1" applyNumberFormat="1" applyFont="1" applyFill="1" applyBorder="1" applyAlignment="1" applyProtection="1"/>
    <xf numFmtId="3" fontId="0" fillId="11" borderId="90" xfId="15" applyFont="1" applyFill="1" applyBorder="1" applyAlignment="1" applyProtection="1">
      <alignment horizontal="center"/>
    </xf>
    <xf numFmtId="3" fontId="14" fillId="3" borderId="98" xfId="15" applyFont="1" applyFill="1" applyBorder="1" applyAlignment="1" applyProtection="1">
      <alignment horizontal="center"/>
    </xf>
    <xf numFmtId="3" fontId="14" fillId="3" borderId="99" xfId="15" applyFont="1" applyFill="1" applyBorder="1" applyAlignment="1" applyProtection="1"/>
    <xf numFmtId="3" fontId="0" fillId="11" borderId="82" xfId="15" applyFont="1" applyFill="1" applyBorder="1" applyAlignment="1" applyProtection="1"/>
    <xf numFmtId="3" fontId="16" fillId="11" borderId="82" xfId="15" applyFont="1" applyFill="1" applyBorder="1" applyAlignment="1" applyProtection="1"/>
    <xf numFmtId="3" fontId="14" fillId="3" borderId="27" xfId="15" applyFont="1" applyFill="1" applyBorder="1" applyAlignment="1" applyProtection="1">
      <alignment horizontal="center"/>
    </xf>
    <xf numFmtId="3" fontId="0" fillId="3" borderId="28" xfId="15" applyFont="1" applyFill="1" applyBorder="1" applyAlignment="1" applyProtection="1">
      <alignment horizontal="center" vertical="top" wrapText="1"/>
    </xf>
    <xf numFmtId="3" fontId="13" fillId="11" borderId="36" xfId="1" applyNumberFormat="1" applyFont="1" applyFill="1" applyBorder="1" applyAlignment="1" applyProtection="1"/>
    <xf numFmtId="3" fontId="0" fillId="3" borderId="105" xfId="15" applyFont="1" applyFill="1" applyBorder="1" applyAlignment="1" applyProtection="1">
      <alignment horizontal="center" vertical="top" wrapText="1"/>
    </xf>
    <xf numFmtId="3" fontId="0" fillId="3" borderId="93" xfId="15" applyFont="1" applyFill="1" applyBorder="1" applyAlignment="1" applyProtection="1">
      <alignment horizontal="center" vertical="top" wrapText="1"/>
    </xf>
    <xf numFmtId="0" fontId="24" fillId="20" borderId="0" xfId="0" applyFont="1" applyFill="1" applyAlignment="1">
      <alignment horizontal="center" wrapText="1"/>
    </xf>
    <xf numFmtId="0" fontId="37" fillId="11" borderId="0" xfId="0" applyFont="1" applyFill="1" applyAlignment="1">
      <alignment horizontal="center"/>
    </xf>
    <xf numFmtId="0" fontId="6" fillId="11" borderId="0" xfId="0" applyFont="1" applyFill="1" applyAlignment="1">
      <alignment horizontal="center"/>
    </xf>
    <xf numFmtId="0" fontId="76" fillId="19" borderId="0" xfId="0" applyFont="1" applyFill="1" applyAlignment="1">
      <alignment horizontal="center"/>
    </xf>
    <xf numFmtId="2" fontId="3" fillId="16" borderId="6" xfId="26" applyNumberFormat="1" applyFont="1" applyFill="1" applyBorder="1" applyAlignment="1" applyProtection="1">
      <alignment horizontal="center" vertical="top" wrapText="1"/>
    </xf>
    <xf numFmtId="1" fontId="3" fillId="16" borderId="15" xfId="15" applyNumberFormat="1" applyFont="1" applyFill="1" applyBorder="1" applyAlignment="1" applyProtection="1">
      <alignment horizontal="center" vertical="top" wrapText="1"/>
    </xf>
    <xf numFmtId="3" fontId="3" fillId="7" borderId="32" xfId="2" applyNumberFormat="1" applyFont="1" applyFill="1" applyBorder="1" applyAlignment="1" applyProtection="1"/>
    <xf numFmtId="3" fontId="3" fillId="7" borderId="6" xfId="2" applyNumberFormat="1" applyFont="1" applyFill="1" applyBorder="1" applyAlignment="1" applyProtection="1"/>
    <xf numFmtId="3" fontId="3" fillId="7" borderId="41" xfId="2" applyNumberFormat="1" applyFont="1" applyFill="1" applyBorder="1" applyAlignment="1" applyProtection="1"/>
    <xf numFmtId="3" fontId="3" fillId="7" borderId="10" xfId="2" applyNumberFormat="1" applyFont="1" applyFill="1" applyBorder="1" applyAlignment="1" applyProtection="1"/>
    <xf numFmtId="3" fontId="3" fillId="7" borderId="6" xfId="15" applyFont="1" applyFill="1" applyBorder="1" applyAlignment="1" applyProtection="1"/>
    <xf numFmtId="3" fontId="3" fillId="7" borderId="80" xfId="2" applyNumberFormat="1" applyFont="1" applyFill="1" applyBorder="1" applyAlignment="1" applyProtection="1"/>
    <xf numFmtId="3" fontId="3" fillId="7" borderId="81" xfId="2" applyNumberFormat="1" applyFont="1" applyFill="1" applyBorder="1" applyAlignment="1" applyProtection="1"/>
    <xf numFmtId="0" fontId="75" fillId="10" borderId="0" xfId="14" applyFont="1" applyFill="1" applyBorder="1" applyAlignment="1">
      <alignment horizontal="center"/>
    </xf>
    <xf numFmtId="1" fontId="3" fillId="18" borderId="0" xfId="15" applyNumberFormat="1" applyFont="1" applyFill="1" applyBorder="1" applyAlignment="1" applyProtection="1">
      <alignment horizontal="center" vertical="top" wrapText="1"/>
    </xf>
    <xf numFmtId="0" fontId="16" fillId="18" borderId="8" xfId="0" applyFont="1" applyFill="1" applyBorder="1" applyAlignment="1">
      <alignment horizontal="center" vertical="top" wrapText="1"/>
    </xf>
    <xf numFmtId="0" fontId="78" fillId="0" borderId="0" xfId="45"/>
    <xf numFmtId="0" fontId="78" fillId="0" borderId="0" xfId="45" applyAlignment="1">
      <alignment wrapText="1"/>
    </xf>
    <xf numFmtId="177" fontId="78" fillId="0" borderId="0" xfId="45" applyNumberFormat="1" applyAlignment="1">
      <alignment horizontal="left"/>
    </xf>
    <xf numFmtId="0" fontId="78" fillId="0" borderId="0" xfId="45" applyAlignment="1">
      <alignment horizontal="center"/>
    </xf>
    <xf numFmtId="0" fontId="81" fillId="0" borderId="0" xfId="45" applyFont="1"/>
    <xf numFmtId="0" fontId="82" fillId="0" borderId="0" xfId="45" applyFont="1"/>
    <xf numFmtId="0" fontId="78" fillId="0" borderId="0" xfId="44" applyFont="1" applyAlignment="1">
      <alignment horizontal="center"/>
    </xf>
    <xf numFmtId="0" fontId="81" fillId="0" borderId="0" xfId="44" applyFont="1"/>
    <xf numFmtId="0" fontId="82" fillId="0" borderId="0" xfId="44" applyFont="1"/>
    <xf numFmtId="0" fontId="84" fillId="0" borderId="0" xfId="44" applyFont="1"/>
    <xf numFmtId="0" fontId="82" fillId="0" borderId="0" xfId="45" applyFont="1" applyAlignment="1">
      <alignment horizontal="left"/>
    </xf>
    <xf numFmtId="4" fontId="82" fillId="0" borderId="0" xfId="45" applyNumberFormat="1" applyFont="1"/>
    <xf numFmtId="4" fontId="80" fillId="0" borderId="0" xfId="45" applyNumberFormat="1" applyFont="1" applyAlignment="1">
      <alignment horizontal="left"/>
    </xf>
    <xf numFmtId="0" fontId="78" fillId="7" borderId="0" xfId="45" applyFill="1"/>
    <xf numFmtId="4" fontId="87" fillId="10" borderId="0" xfId="46" applyNumberFormat="1" applyFont="1" applyFill="1" applyBorder="1" applyAlignment="1"/>
    <xf numFmtId="3" fontId="69" fillId="10" borderId="141" xfId="0" applyNumberFormat="1" applyFont="1" applyFill="1" applyBorder="1"/>
    <xf numFmtId="3" fontId="69" fillId="10" borderId="137" xfId="0" applyNumberFormat="1" applyFont="1" applyFill="1" applyBorder="1"/>
    <xf numFmtId="3" fontId="69" fillId="10" borderId="152" xfId="0" applyNumberFormat="1" applyFont="1" applyFill="1" applyBorder="1"/>
    <xf numFmtId="0" fontId="22" fillId="4" borderId="137" xfId="0" applyFont="1" applyFill="1" applyBorder="1" applyAlignment="1">
      <alignment horizontal="left"/>
    </xf>
    <xf numFmtId="0" fontId="52" fillId="8" borderId="153" xfId="0" applyFont="1" applyFill="1" applyBorder="1" applyAlignment="1">
      <alignment horizontal="center"/>
    </xf>
    <xf numFmtId="0" fontId="52" fillId="8" borderId="154" xfId="0" applyFont="1" applyFill="1" applyBorder="1" applyAlignment="1">
      <alignment horizontal="center"/>
    </xf>
    <xf numFmtId="0" fontId="0" fillId="8" borderId="37" xfId="0" applyFill="1" applyBorder="1" applyAlignment="1">
      <alignment horizontal="center" vertical="top" wrapText="1"/>
    </xf>
    <xf numFmtId="0" fontId="0" fillId="8" borderId="155" xfId="0" applyFill="1" applyBorder="1" applyAlignment="1">
      <alignment horizontal="center" vertical="top" wrapText="1"/>
    </xf>
    <xf numFmtId="0" fontId="18" fillId="8" borderId="38" xfId="0" applyFont="1" applyFill="1" applyBorder="1" applyAlignment="1">
      <alignment horizontal="center" vertical="top" wrapText="1"/>
    </xf>
    <xf numFmtId="0" fontId="18" fillId="8" borderId="156" xfId="0" applyFont="1" applyFill="1" applyBorder="1" applyAlignment="1">
      <alignment horizontal="center" vertical="top" wrapText="1"/>
    </xf>
    <xf numFmtId="0" fontId="0" fillId="0" borderId="163" xfId="0" applyBorder="1"/>
    <xf numFmtId="0" fontId="3" fillId="0" borderId="163" xfId="0" applyFont="1" applyBorder="1" applyAlignment="1">
      <alignment horizontal="center"/>
    </xf>
    <xf numFmtId="0" fontId="13" fillId="0" borderId="163" xfId="0" applyFont="1" applyBorder="1" applyAlignment="1">
      <alignment horizontal="center"/>
    </xf>
    <xf numFmtId="0" fontId="75" fillId="20" borderId="0" xfId="14" applyNumberFormat="1" applyFont="1" applyFill="1" applyBorder="1" applyAlignment="1" applyProtection="1">
      <alignment horizontal="center"/>
    </xf>
    <xf numFmtId="3" fontId="0" fillId="7" borderId="0" xfId="0" applyNumberFormat="1" applyFill="1"/>
    <xf numFmtId="3" fontId="13" fillId="7" borderId="0" xfId="0" applyNumberFormat="1" applyFont="1" applyFill="1"/>
    <xf numFmtId="3" fontId="16" fillId="7" borderId="0" xfId="0" applyNumberFormat="1" applyFont="1" applyFill="1"/>
    <xf numFmtId="0" fontId="2" fillId="7" borderId="0" xfId="0" applyFont="1" applyFill="1"/>
    <xf numFmtId="0" fontId="14" fillId="7" borderId="0" xfId="0" applyFont="1" applyFill="1"/>
    <xf numFmtId="3" fontId="20" fillId="7" borderId="0" xfId="0" applyNumberFormat="1" applyFont="1" applyFill="1"/>
    <xf numFmtId="3" fontId="24" fillId="7" borderId="0" xfId="0" applyNumberFormat="1" applyFont="1" applyFill="1"/>
    <xf numFmtId="0" fontId="67" fillId="10" borderId="0" xfId="0" applyFont="1" applyFill="1"/>
    <xf numFmtId="3" fontId="73" fillId="10" borderId="0" xfId="0" applyNumberFormat="1" applyFont="1" applyFill="1"/>
    <xf numFmtId="0" fontId="73" fillId="10" borderId="0" xfId="0" applyFont="1" applyFill="1"/>
    <xf numFmtId="3" fontId="67" fillId="10" borderId="0" xfId="0" applyNumberFormat="1" applyFont="1" applyFill="1"/>
    <xf numFmtId="3" fontId="69" fillId="10" borderId="0" xfId="0" applyNumberFormat="1" applyFont="1" applyFill="1"/>
    <xf numFmtId="0" fontId="29" fillId="0" borderId="0" xfId="0" applyFont="1"/>
    <xf numFmtId="0" fontId="0" fillId="0" borderId="168" xfId="21" applyFont="1" applyBorder="1"/>
    <xf numFmtId="0" fontId="0" fillId="0" borderId="168" xfId="0" applyBorder="1"/>
    <xf numFmtId="3" fontId="0" fillId="0" borderId="168" xfId="15" applyFont="1" applyFill="1" applyBorder="1" applyAlignment="1" applyProtection="1"/>
    <xf numFmtId="3" fontId="0" fillId="0" borderId="168" xfId="2" applyNumberFormat="1" applyFont="1" applyFill="1" applyBorder="1" applyAlignment="1" applyProtection="1"/>
    <xf numFmtId="3" fontId="0" fillId="0" borderId="168" xfId="15" applyFont="1" applyFill="1" applyBorder="1" applyAlignment="1" applyProtection="1">
      <alignment horizontal="center"/>
    </xf>
    <xf numFmtId="3" fontId="3" fillId="0" borderId="168" xfId="15" applyFont="1" applyFill="1" applyBorder="1" applyAlignment="1" applyProtection="1"/>
    <xf numFmtId="0" fontId="78" fillId="0" borderId="168" xfId="45" applyBorder="1"/>
    <xf numFmtId="0" fontId="30" fillId="0" borderId="168" xfId="0" applyFont="1" applyBorder="1" applyAlignment="1">
      <alignment horizontal="center"/>
    </xf>
    <xf numFmtId="0" fontId="30" fillId="0" borderId="168" xfId="0" applyFont="1" applyBorder="1"/>
    <xf numFmtId="0" fontId="0" fillId="0" borderId="168" xfId="0" applyBorder="1" applyAlignment="1">
      <alignment horizontal="center"/>
    </xf>
    <xf numFmtId="175" fontId="0" fillId="0" borderId="168" xfId="0" applyNumberFormat="1" applyBorder="1"/>
    <xf numFmtId="0" fontId="69" fillId="10" borderId="0" xfId="0" applyFont="1" applyFill="1"/>
    <xf numFmtId="0" fontId="71" fillId="10" borderId="0" xfId="0" applyFont="1" applyFill="1"/>
    <xf numFmtId="3" fontId="0" fillId="7" borderId="0" xfId="2" applyNumberFormat="1" applyFont="1" applyFill="1" applyBorder="1" applyAlignment="1" applyProtection="1"/>
    <xf numFmtId="0" fontId="0" fillId="7" borderId="158" xfId="0" applyFill="1" applyBorder="1"/>
    <xf numFmtId="0" fontId="0" fillId="7" borderId="170" xfId="0" applyFill="1" applyBorder="1"/>
    <xf numFmtId="3" fontId="3" fillId="7" borderId="164" xfId="2" applyNumberFormat="1" applyFont="1" applyFill="1" applyBorder="1" applyAlignment="1" applyProtection="1"/>
    <xf numFmtId="0" fontId="0" fillId="7" borderId="171" xfId="0" applyFill="1" applyBorder="1"/>
    <xf numFmtId="3" fontId="3" fillId="7" borderId="172" xfId="2" applyNumberFormat="1" applyFont="1" applyFill="1" applyBorder="1" applyAlignment="1" applyProtection="1"/>
    <xf numFmtId="0" fontId="0" fillId="7" borderId="173" xfId="0" applyFill="1" applyBorder="1"/>
    <xf numFmtId="0" fontId="0" fillId="7" borderId="174" xfId="0" applyFill="1" applyBorder="1"/>
    <xf numFmtId="0" fontId="0" fillId="7" borderId="174" xfId="0" applyFill="1" applyBorder="1" applyAlignment="1">
      <alignment vertical="center"/>
    </xf>
    <xf numFmtId="0" fontId="0" fillId="7" borderId="175" xfId="0" applyFill="1" applyBorder="1"/>
    <xf numFmtId="0" fontId="0" fillId="7" borderId="176" xfId="0" applyFill="1" applyBorder="1"/>
    <xf numFmtId="3" fontId="0" fillId="7" borderId="175" xfId="15" applyFont="1" applyFill="1" applyBorder="1" applyAlignment="1" applyProtection="1"/>
    <xf numFmtId="0" fontId="71" fillId="10" borderId="180" xfId="0" applyFont="1" applyFill="1" applyBorder="1"/>
    <xf numFmtId="3" fontId="69" fillId="10" borderId="168" xfId="2" applyNumberFormat="1" applyFont="1" applyFill="1" applyBorder="1" applyAlignment="1" applyProtection="1"/>
    <xf numFmtId="3" fontId="26" fillId="7" borderId="182" xfId="15" applyFont="1" applyFill="1" applyBorder="1" applyAlignment="1" applyProtection="1"/>
    <xf numFmtId="3" fontId="27" fillId="7" borderId="182" xfId="15" applyFont="1" applyFill="1" applyBorder="1" applyAlignment="1" applyProtection="1"/>
    <xf numFmtId="3" fontId="0" fillId="7" borderId="182" xfId="2" applyNumberFormat="1" applyFont="1" applyFill="1" applyBorder="1" applyAlignment="1" applyProtection="1"/>
    <xf numFmtId="3" fontId="69" fillId="10" borderId="184" xfId="2" applyNumberFormat="1" applyFont="1" applyFill="1" applyBorder="1" applyAlignment="1" applyProtection="1"/>
    <xf numFmtId="3" fontId="69" fillId="10" borderId="183" xfId="15" applyFont="1" applyFill="1" applyBorder="1" applyAlignment="1" applyProtection="1"/>
    <xf numFmtId="3" fontId="3" fillId="7" borderId="183" xfId="2" applyNumberFormat="1" applyFont="1" applyFill="1" applyBorder="1" applyAlignment="1" applyProtection="1"/>
    <xf numFmtId="3" fontId="71" fillId="10" borderId="185" xfId="15" applyFont="1" applyFill="1" applyBorder="1" applyAlignment="1" applyProtection="1"/>
    <xf numFmtId="0" fontId="0" fillId="11" borderId="189" xfId="0" applyFill="1" applyBorder="1"/>
    <xf numFmtId="0" fontId="0" fillId="21" borderId="190" xfId="0" applyFill="1" applyBorder="1"/>
    <xf numFmtId="0" fontId="0" fillId="11" borderId="193" xfId="0" applyFill="1" applyBorder="1"/>
    <xf numFmtId="1" fontId="3" fillId="16" borderId="195" xfId="15" applyNumberFormat="1" applyFont="1" applyFill="1" applyBorder="1" applyAlignment="1" applyProtection="1">
      <alignment horizontal="center" vertical="top" wrapText="1"/>
    </xf>
    <xf numFmtId="1" fontId="3" fillId="16" borderId="196" xfId="15" applyNumberFormat="1" applyFont="1" applyFill="1" applyBorder="1" applyAlignment="1" applyProtection="1">
      <alignment horizontal="center" vertical="top" wrapText="1"/>
    </xf>
    <xf numFmtId="0" fontId="75" fillId="19" borderId="193" xfId="14" applyNumberFormat="1" applyFont="1" applyFill="1" applyBorder="1" applyAlignment="1" applyProtection="1">
      <alignment horizontal="center" wrapText="1"/>
    </xf>
    <xf numFmtId="0" fontId="71" fillId="10" borderId="198" xfId="0" applyFont="1" applyFill="1" applyBorder="1"/>
    <xf numFmtId="3" fontId="71" fillId="10" borderId="199" xfId="15" applyFont="1" applyFill="1" applyBorder="1" applyAlignment="1" applyProtection="1"/>
    <xf numFmtId="3" fontId="71" fillId="10" borderId="200" xfId="15" applyFont="1" applyFill="1" applyBorder="1" applyAlignment="1" applyProtection="1"/>
    <xf numFmtId="3" fontId="69" fillId="18" borderId="200" xfId="2" applyNumberFormat="1" applyFont="1" applyFill="1" applyBorder="1" applyAlignment="1" applyProtection="1"/>
    <xf numFmtId="0" fontId="0" fillId="7" borderId="205" xfId="0" applyFill="1" applyBorder="1"/>
    <xf numFmtId="3" fontId="3" fillId="7" borderId="204" xfId="2" applyNumberFormat="1" applyFont="1" applyFill="1" applyBorder="1" applyAlignment="1" applyProtection="1"/>
    <xf numFmtId="3" fontId="69" fillId="10" borderId="200" xfId="2" applyNumberFormat="1" applyFont="1" applyFill="1" applyBorder="1" applyAlignment="1" applyProtection="1"/>
    <xf numFmtId="3" fontId="69" fillId="10" borderId="200" xfId="15" applyFont="1" applyFill="1" applyBorder="1" applyAlignment="1" applyProtection="1"/>
    <xf numFmtId="3" fontId="69" fillId="18" borderId="204" xfId="2" applyNumberFormat="1" applyFont="1" applyFill="1" applyBorder="1" applyAlignment="1" applyProtection="1"/>
    <xf numFmtId="0" fontId="75" fillId="10" borderId="193" xfId="0" applyFont="1" applyFill="1" applyBorder="1" applyAlignment="1">
      <alignment horizontal="center"/>
    </xf>
    <xf numFmtId="0" fontId="71" fillId="10" borderId="207" xfId="0" applyFont="1" applyFill="1" applyBorder="1"/>
    <xf numFmtId="3" fontId="69" fillId="18" borderId="199" xfId="2" applyNumberFormat="1" applyFont="1" applyFill="1" applyBorder="1" applyAlignment="1" applyProtection="1"/>
    <xf numFmtId="0" fontId="75" fillId="11" borderId="193" xfId="0" applyFont="1" applyFill="1" applyBorder="1" applyAlignment="1">
      <alignment horizontal="center"/>
    </xf>
    <xf numFmtId="3" fontId="2" fillId="7" borderId="209" xfId="15" applyFont="1" applyFill="1" applyBorder="1" applyAlignment="1" applyProtection="1"/>
    <xf numFmtId="3" fontId="3" fillId="7" borderId="209" xfId="2" applyNumberFormat="1" applyFont="1" applyFill="1" applyBorder="1" applyAlignment="1" applyProtection="1"/>
    <xf numFmtId="3" fontId="71" fillId="10" borderId="204" xfId="0" applyNumberFormat="1" applyFont="1" applyFill="1" applyBorder="1"/>
    <xf numFmtId="3" fontId="71" fillId="10" borderId="210" xfId="0" applyNumberFormat="1" applyFont="1" applyFill="1" applyBorder="1"/>
    <xf numFmtId="3" fontId="69" fillId="18" borderId="185" xfId="2" applyNumberFormat="1" applyFont="1" applyFill="1" applyBorder="1" applyAlignment="1" applyProtection="1"/>
    <xf numFmtId="3" fontId="3" fillId="7" borderId="211" xfId="15" applyFont="1" applyFill="1" applyBorder="1" applyAlignment="1" applyProtection="1"/>
    <xf numFmtId="3" fontId="71" fillId="10" borderId="200" xfId="0" applyNumberFormat="1" applyFont="1" applyFill="1" applyBorder="1"/>
    <xf numFmtId="3" fontId="71" fillId="10" borderId="206" xfId="0" applyNumberFormat="1" applyFont="1" applyFill="1" applyBorder="1"/>
    <xf numFmtId="0" fontId="71" fillId="10" borderId="212" xfId="0" applyFont="1" applyFill="1" applyBorder="1"/>
    <xf numFmtId="0" fontId="71" fillId="10" borderId="198" xfId="0" applyFont="1" applyFill="1" applyBorder="1" applyAlignment="1">
      <alignment vertical="center"/>
    </xf>
    <xf numFmtId="3" fontId="69" fillId="10" borderId="200" xfId="0" applyNumberFormat="1" applyFont="1" applyFill="1" applyBorder="1" applyAlignment="1">
      <alignment vertical="center"/>
    </xf>
    <xf numFmtId="3" fontId="69" fillId="18" borderId="184" xfId="2" applyNumberFormat="1" applyFont="1" applyFill="1" applyBorder="1" applyAlignment="1" applyProtection="1"/>
    <xf numFmtId="3" fontId="71" fillId="10" borderId="199" xfId="0" applyNumberFormat="1" applyFont="1" applyFill="1" applyBorder="1"/>
    <xf numFmtId="0" fontId="75" fillId="10" borderId="178" xfId="0" applyFont="1" applyFill="1" applyBorder="1" applyAlignment="1">
      <alignment horizontal="center"/>
    </xf>
    <xf numFmtId="0" fontId="76" fillId="10" borderId="168" xfId="0" applyFont="1" applyFill="1" applyBorder="1" applyAlignment="1">
      <alignment horizontal="center"/>
    </xf>
    <xf numFmtId="0" fontId="72" fillId="9" borderId="214" xfId="0" applyFont="1" applyFill="1" applyBorder="1"/>
    <xf numFmtId="3" fontId="72" fillId="9" borderId="215" xfId="15" applyFont="1" applyFill="1" applyBorder="1" applyAlignment="1" applyProtection="1"/>
    <xf numFmtId="0" fontId="0" fillId="11" borderId="193" xfId="0" applyFill="1" applyBorder="1" applyAlignment="1">
      <alignment horizontal="center"/>
    </xf>
    <xf numFmtId="0" fontId="69" fillId="10" borderId="198" xfId="0" applyFont="1" applyFill="1" applyBorder="1"/>
    <xf numFmtId="0" fontId="0" fillId="11" borderId="217" xfId="0" applyFill="1" applyBorder="1" applyAlignment="1">
      <alignment horizontal="center"/>
    </xf>
    <xf numFmtId="3" fontId="69" fillId="10" borderId="218" xfId="2" applyNumberFormat="1" applyFont="1" applyFill="1" applyBorder="1" applyAlignment="1" applyProtection="1"/>
    <xf numFmtId="3" fontId="0" fillId="7" borderId="219" xfId="2" applyNumberFormat="1" applyFont="1" applyFill="1" applyBorder="1" applyAlignment="1" applyProtection="1"/>
    <xf numFmtId="3" fontId="3" fillId="7" borderId="200" xfId="17" applyNumberFormat="1" applyFont="1" applyFill="1" applyBorder="1" applyAlignment="1" applyProtection="1"/>
    <xf numFmtId="0" fontId="0" fillId="11" borderId="208" xfId="0" applyFill="1" applyBorder="1" applyAlignment="1">
      <alignment horizontal="center"/>
    </xf>
    <xf numFmtId="0" fontId="0" fillId="11" borderId="209" xfId="0" applyFill="1" applyBorder="1" applyAlignment="1">
      <alignment horizontal="center"/>
    </xf>
    <xf numFmtId="3" fontId="0" fillId="7" borderId="209" xfId="15" applyFont="1" applyFill="1" applyBorder="1" applyAlignment="1" applyProtection="1"/>
    <xf numFmtId="3" fontId="69" fillId="10" borderId="109" xfId="15" applyFont="1" applyFill="1" applyBorder="1" applyAlignment="1" applyProtection="1">
      <alignment horizontal="center"/>
    </xf>
    <xf numFmtId="3" fontId="73" fillId="18" borderId="102" xfId="15" applyFont="1" applyFill="1" applyBorder="1" applyAlignment="1" applyProtection="1"/>
    <xf numFmtId="3" fontId="69" fillId="10" borderId="104" xfId="15" applyFont="1" applyFill="1" applyBorder="1" applyAlignment="1" applyProtection="1"/>
    <xf numFmtId="3" fontId="69" fillId="10" borderId="19" xfId="1" applyNumberFormat="1" applyFont="1" applyFill="1" applyBorder="1" applyAlignment="1" applyProtection="1"/>
    <xf numFmtId="0" fontId="69" fillId="24" borderId="52" xfId="0" applyFont="1" applyFill="1" applyBorder="1"/>
    <xf numFmtId="3" fontId="16" fillId="7" borderId="0" xfId="2" applyNumberFormat="1" applyFont="1" applyFill="1" applyBorder="1" applyAlignment="1" applyProtection="1"/>
    <xf numFmtId="0" fontId="0" fillId="3" borderId="169" xfId="0" applyFill="1" applyBorder="1" applyAlignment="1">
      <alignment vertical="top" wrapText="1"/>
    </xf>
    <xf numFmtId="0" fontId="0" fillId="16" borderId="227" xfId="0" applyFill="1" applyBorder="1" applyAlignment="1">
      <alignment vertical="top" wrapText="1"/>
    </xf>
    <xf numFmtId="1" fontId="0" fillId="16" borderId="228" xfId="15" applyNumberFormat="1" applyFont="1" applyFill="1" applyBorder="1" applyAlignment="1" applyProtection="1">
      <alignment horizontal="center" vertical="top" wrapText="1"/>
    </xf>
    <xf numFmtId="0" fontId="0" fillId="16" borderId="229" xfId="0" applyFill="1" applyBorder="1" applyAlignment="1">
      <alignment vertical="top" wrapText="1"/>
    </xf>
    <xf numFmtId="1" fontId="0" fillId="16" borderId="230" xfId="15" applyNumberFormat="1" applyFont="1" applyFill="1" applyBorder="1" applyAlignment="1" applyProtection="1">
      <alignment horizontal="center" vertical="top" wrapText="1"/>
    </xf>
    <xf numFmtId="3" fontId="16" fillId="7" borderId="0" xfId="15" applyFont="1" applyFill="1" applyBorder="1" applyAlignment="1" applyProtection="1">
      <protection locked="0"/>
    </xf>
    <xf numFmtId="3" fontId="26" fillId="0" borderId="0" xfId="15" applyFont="1" applyFill="1" applyBorder="1" applyAlignment="1" applyProtection="1"/>
    <xf numFmtId="3" fontId="71" fillId="10" borderId="0" xfId="15" applyFont="1" applyFill="1" applyBorder="1" applyAlignment="1" applyProtection="1"/>
    <xf numFmtId="3" fontId="23" fillId="7" borderId="0" xfId="15" applyFont="1" applyFill="1" applyBorder="1" applyAlignment="1" applyProtection="1"/>
    <xf numFmtId="3" fontId="71" fillId="10" borderId="0" xfId="15" applyFont="1" applyFill="1" applyBorder="1" applyAlignment="1" applyProtection="1">
      <protection locked="0"/>
    </xf>
    <xf numFmtId="0" fontId="0" fillId="7" borderId="0" xfId="0" applyFill="1" applyAlignment="1">
      <alignment vertical="center"/>
    </xf>
    <xf numFmtId="0" fontId="69" fillId="10" borderId="16" xfId="0" applyFont="1" applyFill="1" applyBorder="1" applyAlignment="1">
      <alignment horizontal="left"/>
    </xf>
    <xf numFmtId="0" fontId="69" fillId="10" borderId="43" xfId="0" applyFont="1" applyFill="1" applyBorder="1"/>
    <xf numFmtId="3" fontId="69" fillId="10" borderId="12" xfId="1" applyNumberFormat="1" applyFont="1" applyFill="1" applyBorder="1" applyAlignment="1" applyProtection="1"/>
    <xf numFmtId="175" fontId="69" fillId="24" borderId="43" xfId="0" applyNumberFormat="1" applyFont="1" applyFill="1" applyBorder="1"/>
    <xf numFmtId="0" fontId="69" fillId="24" borderId="43" xfId="0" applyFont="1" applyFill="1" applyBorder="1"/>
    <xf numFmtId="0" fontId="69" fillId="24" borderId="43" xfId="0" applyFont="1" applyFill="1" applyBorder="1" applyAlignment="1">
      <alignment horizontal="center"/>
    </xf>
    <xf numFmtId="3" fontId="69" fillId="24" borderId="69" xfId="1" applyNumberFormat="1" applyFont="1" applyFill="1" applyBorder="1" applyAlignment="1" applyProtection="1"/>
    <xf numFmtId="3" fontId="69" fillId="10" borderId="30" xfId="1" applyNumberFormat="1" applyFont="1" applyFill="1" applyBorder="1" applyAlignment="1" applyProtection="1"/>
    <xf numFmtId="0" fontId="69" fillId="10" borderId="46" xfId="0" applyFont="1" applyFill="1" applyBorder="1" applyAlignment="1">
      <alignment horizontal="left"/>
    </xf>
    <xf numFmtId="0" fontId="69" fillId="10" borderId="52" xfId="0" applyFont="1" applyFill="1" applyBorder="1"/>
    <xf numFmtId="3" fontId="69" fillId="10" borderId="70" xfId="1" applyNumberFormat="1" applyFont="1" applyFill="1" applyBorder="1" applyAlignment="1" applyProtection="1"/>
    <xf numFmtId="175" fontId="69" fillId="24" borderId="52" xfId="0" applyNumberFormat="1" applyFont="1" applyFill="1" applyBorder="1"/>
    <xf numFmtId="0" fontId="69" fillId="24" borderId="52" xfId="0" applyFont="1" applyFill="1" applyBorder="1" applyAlignment="1">
      <alignment horizontal="center"/>
    </xf>
    <xf numFmtId="3" fontId="69" fillId="10" borderId="63" xfId="1" applyNumberFormat="1" applyFont="1" applyFill="1" applyBorder="1" applyAlignment="1" applyProtection="1"/>
    <xf numFmtId="0" fontId="71" fillId="18" borderId="1" xfId="0" applyFont="1" applyFill="1" applyBorder="1" applyAlignment="1">
      <alignment horizontal="left"/>
    </xf>
    <xf numFmtId="0" fontId="69" fillId="18" borderId="2" xfId="0" applyFont="1" applyFill="1" applyBorder="1"/>
    <xf numFmtId="0" fontId="69" fillId="18" borderId="16" xfId="0" applyFont="1" applyFill="1" applyBorder="1"/>
    <xf numFmtId="0" fontId="69" fillId="18" borderId="43" xfId="0" applyFont="1" applyFill="1" applyBorder="1"/>
    <xf numFmtId="0" fontId="0" fillId="3" borderId="165" xfId="0" applyFill="1" applyBorder="1" applyAlignment="1">
      <alignment horizontal="center" vertical="top" wrapText="1"/>
    </xf>
    <xf numFmtId="0" fontId="38" fillId="3" borderId="239" xfId="0" applyFont="1" applyFill="1" applyBorder="1" applyAlignment="1">
      <alignment horizontal="center" vertical="top" wrapText="1"/>
    </xf>
    <xf numFmtId="38" fontId="0" fillId="3" borderId="240" xfId="2" applyFont="1" applyFill="1" applyBorder="1" applyAlignment="1" applyProtection="1">
      <alignment horizontal="center" vertical="top" wrapText="1"/>
    </xf>
    <xf numFmtId="3" fontId="23" fillId="3" borderId="241" xfId="15" applyFont="1" applyFill="1" applyBorder="1" applyAlignment="1" applyProtection="1">
      <alignment horizontal="center" vertical="top" wrapText="1"/>
    </xf>
    <xf numFmtId="3" fontId="16" fillId="3" borderId="167" xfId="15" applyFont="1" applyFill="1" applyBorder="1" applyAlignment="1" applyProtection="1">
      <alignment horizontal="center" vertical="top" wrapText="1"/>
    </xf>
    <xf numFmtId="0" fontId="6" fillId="3" borderId="217" xfId="0" applyFont="1" applyFill="1" applyBorder="1" applyAlignment="1">
      <alignment horizontal="center" vertical="top" wrapText="1"/>
    </xf>
    <xf numFmtId="1" fontId="0" fillId="3" borderId="4" xfId="2" applyNumberFormat="1" applyFont="1" applyFill="1" applyBorder="1" applyAlignment="1" applyProtection="1">
      <alignment horizontal="center" vertical="top" wrapText="1"/>
    </xf>
    <xf numFmtId="1" fontId="23" fillId="3" borderId="185" xfId="15" applyNumberFormat="1" applyFont="1" applyFill="1" applyBorder="1" applyAlignment="1" applyProtection="1">
      <alignment horizontal="center" vertical="top" wrapText="1"/>
    </xf>
    <xf numFmtId="1" fontId="16" fillId="3" borderId="177" xfId="15" applyNumberFormat="1" applyFont="1" applyFill="1" applyBorder="1" applyAlignment="1" applyProtection="1">
      <alignment horizontal="center" vertical="top" wrapText="1"/>
    </xf>
    <xf numFmtId="0" fontId="6" fillId="16" borderId="242" xfId="0" applyFont="1" applyFill="1" applyBorder="1" applyAlignment="1">
      <alignment horizontal="center" vertical="top" wrapText="1"/>
    </xf>
    <xf numFmtId="1" fontId="0" fillId="16" borderId="243" xfId="15" applyNumberFormat="1" applyFont="1" applyFill="1" applyBorder="1" applyAlignment="1" applyProtection="1">
      <alignment horizontal="center" vertical="top" wrapText="1"/>
    </xf>
    <xf numFmtId="0" fontId="6" fillId="16" borderId="234" xfId="0" applyFont="1" applyFill="1" applyBorder="1" applyAlignment="1">
      <alignment horizontal="center" vertical="top" wrapText="1"/>
    </xf>
    <xf numFmtId="1" fontId="0" fillId="16" borderId="244" xfId="15" applyNumberFormat="1" applyFont="1" applyFill="1" applyBorder="1" applyAlignment="1" applyProtection="1">
      <alignment horizontal="center" vertical="top" wrapText="1"/>
    </xf>
    <xf numFmtId="0" fontId="0" fillId="7" borderId="217" xfId="0" applyFill="1" applyBorder="1" applyAlignment="1">
      <alignment horizontal="center"/>
    </xf>
    <xf numFmtId="3" fontId="16" fillId="7" borderId="177" xfId="0" applyNumberFormat="1" applyFont="1" applyFill="1" applyBorder="1"/>
    <xf numFmtId="3" fontId="16" fillId="7" borderId="177" xfId="2" applyNumberFormat="1" applyFont="1" applyFill="1" applyBorder="1" applyAlignment="1" applyProtection="1"/>
    <xf numFmtId="0" fontId="0" fillId="8" borderId="217" xfId="0" applyFill="1" applyBorder="1" applyAlignment="1">
      <alignment horizontal="center"/>
    </xf>
    <xf numFmtId="0" fontId="69" fillId="10" borderId="245" xfId="0" applyFont="1" applyFill="1" applyBorder="1"/>
    <xf numFmtId="3" fontId="71" fillId="10" borderId="216" xfId="15" applyFont="1" applyFill="1" applyBorder="1" applyAlignment="1" applyProtection="1"/>
    <xf numFmtId="3" fontId="16" fillId="7" borderId="177" xfId="15" applyFont="1" applyFill="1" applyBorder="1" applyAlignment="1" applyProtection="1">
      <protection locked="0"/>
    </xf>
    <xf numFmtId="3" fontId="71" fillId="10" borderId="177" xfId="15" applyFont="1" applyFill="1" applyBorder="1" applyAlignment="1" applyProtection="1"/>
    <xf numFmtId="3" fontId="23" fillId="7" borderId="177" xfId="15" applyFont="1" applyFill="1" applyBorder="1" applyAlignment="1" applyProtection="1"/>
    <xf numFmtId="3" fontId="71" fillId="10" borderId="177" xfId="15" applyFont="1" applyFill="1" applyBorder="1" applyAlignment="1" applyProtection="1">
      <protection locked="0"/>
    </xf>
    <xf numFmtId="0" fontId="0" fillId="0" borderId="217" xfId="0" applyBorder="1" applyAlignment="1">
      <alignment horizontal="center"/>
    </xf>
    <xf numFmtId="3" fontId="27" fillId="0" borderId="177" xfId="15" applyFont="1" applyFill="1" applyBorder="1" applyAlignment="1" applyProtection="1"/>
    <xf numFmtId="3" fontId="69" fillId="10" borderId="177" xfId="0" applyNumberFormat="1" applyFont="1" applyFill="1" applyBorder="1"/>
    <xf numFmtId="0" fontId="0" fillId="7" borderId="217" xfId="0" applyFill="1" applyBorder="1"/>
    <xf numFmtId="0" fontId="0" fillId="0" borderId="217" xfId="0" applyBorder="1"/>
    <xf numFmtId="0" fontId="0" fillId="0" borderId="177" xfId="0" applyBorder="1"/>
    <xf numFmtId="0" fontId="38" fillId="0" borderId="217" xfId="0" applyFont="1" applyBorder="1"/>
    <xf numFmtId="0" fontId="38" fillId="0" borderId="0" xfId="0" applyFont="1"/>
    <xf numFmtId="0" fontId="60" fillId="7" borderId="165" xfId="0" applyFont="1" applyFill="1" applyBorder="1"/>
    <xf numFmtId="0" fontId="60" fillId="7" borderId="231" xfId="0" applyFont="1" applyFill="1" applyBorder="1"/>
    <xf numFmtId="0" fontId="0" fillId="7" borderId="231" xfId="0" applyFill="1" applyBorder="1"/>
    <xf numFmtId="0" fontId="60" fillId="7" borderId="231" xfId="0" applyFont="1" applyFill="1" applyBorder="1" applyAlignment="1">
      <alignment horizontal="center"/>
    </xf>
    <xf numFmtId="0" fontId="60" fillId="7" borderId="167" xfId="0" applyFont="1" applyFill="1" applyBorder="1" applyAlignment="1">
      <alignment horizontal="center"/>
    </xf>
    <xf numFmtId="3" fontId="54" fillId="28" borderId="177" xfId="0" applyNumberFormat="1" applyFont="1" applyFill="1" applyBorder="1"/>
    <xf numFmtId="0" fontId="54" fillId="28" borderId="177" xfId="0" applyFont="1" applyFill="1" applyBorder="1"/>
    <xf numFmtId="0" fontId="67" fillId="10" borderId="217" xfId="0" applyFont="1" applyFill="1" applyBorder="1"/>
    <xf numFmtId="3" fontId="67" fillId="10" borderId="177" xfId="0" applyNumberFormat="1" applyFont="1" applyFill="1" applyBorder="1"/>
    <xf numFmtId="0" fontId="0" fillId="7" borderId="177" xfId="0" applyFill="1" applyBorder="1"/>
    <xf numFmtId="0" fontId="14" fillId="7" borderId="217" xfId="0" applyFont="1" applyFill="1" applyBorder="1"/>
    <xf numFmtId="3" fontId="71" fillId="10" borderId="197" xfId="0" applyNumberFormat="1" applyFont="1" applyFill="1" applyBorder="1"/>
    <xf numFmtId="0" fontId="13" fillId="7" borderId="177" xfId="0" applyFont="1" applyFill="1" applyBorder="1"/>
    <xf numFmtId="0" fontId="67" fillId="10" borderId="247" xfId="0" applyFont="1" applyFill="1" applyBorder="1"/>
    <xf numFmtId="3" fontId="67" fillId="10" borderId="247" xfId="0" applyNumberFormat="1" applyFont="1" applyFill="1" applyBorder="1"/>
    <xf numFmtId="0" fontId="73" fillId="10" borderId="247" xfId="0" applyFont="1" applyFill="1" applyBorder="1"/>
    <xf numFmtId="3" fontId="67" fillId="10" borderId="248" xfId="0" applyNumberFormat="1" applyFont="1" applyFill="1" applyBorder="1"/>
    <xf numFmtId="0" fontId="0" fillId="0" borderId="246" xfId="0" applyBorder="1"/>
    <xf numFmtId="0" fontId="0" fillId="0" borderId="247" xfId="0" applyBorder="1"/>
    <xf numFmtId="0" fontId="0" fillId="0" borderId="248" xfId="0" applyBorder="1"/>
    <xf numFmtId="0" fontId="67" fillId="10" borderId="231" xfId="0" applyFont="1" applyFill="1" applyBorder="1"/>
    <xf numFmtId="0" fontId="94" fillId="0" borderId="75" xfId="58" applyFont="1" applyBorder="1" applyAlignment="1">
      <alignment horizontal="centerContinuous"/>
    </xf>
    <xf numFmtId="0" fontId="94" fillId="0" borderId="76" xfId="58" applyFont="1" applyBorder="1" applyAlignment="1">
      <alignment horizontal="centerContinuous"/>
    </xf>
    <xf numFmtId="0" fontId="94" fillId="0" borderId="110" xfId="58" applyFont="1" applyBorder="1" applyAlignment="1">
      <alignment horizontal="centerContinuous"/>
    </xf>
    <xf numFmtId="0" fontId="4" fillId="0" borderId="0" xfId="59"/>
    <xf numFmtId="0" fontId="86" fillId="0" borderId="74" xfId="58" applyFont="1" applyBorder="1" applyAlignment="1">
      <alignment horizontal="center"/>
    </xf>
    <xf numFmtId="0" fontId="86" fillId="0" borderId="249" xfId="58" applyFont="1" applyBorder="1" applyAlignment="1">
      <alignment horizontal="left"/>
    </xf>
    <xf numFmtId="0" fontId="86" fillId="0" borderId="250" xfId="58" applyFont="1" applyBorder="1" applyAlignment="1">
      <alignment horizontal="left"/>
    </xf>
    <xf numFmtId="0" fontId="78" fillId="0" borderId="250" xfId="58" applyFont="1" applyBorder="1" applyAlignment="1">
      <alignment horizontal="left"/>
    </xf>
    <xf numFmtId="0" fontId="86" fillId="0" borderId="251" xfId="58" applyFont="1" applyBorder="1" applyAlignment="1">
      <alignment horizontal="left"/>
    </xf>
    <xf numFmtId="0" fontId="86" fillId="0" borderId="111" xfId="58" applyFont="1" applyBorder="1" applyAlignment="1">
      <alignment horizontal="center"/>
    </xf>
    <xf numFmtId="0" fontId="86" fillId="0" borderId="252" xfId="58" applyFont="1" applyBorder="1" applyAlignment="1">
      <alignment horizontal="center"/>
    </xf>
    <xf numFmtId="3" fontId="94" fillId="0" borderId="253" xfId="48" applyFont="1" applyBorder="1" applyAlignment="1">
      <alignment horizontal="center"/>
    </xf>
    <xf numFmtId="3" fontId="94" fillId="0" borderId="254" xfId="48" applyFont="1" applyBorder="1" applyAlignment="1">
      <alignment horizontal="center"/>
    </xf>
    <xf numFmtId="0" fontId="86" fillId="0" borderId="255" xfId="58" applyFont="1" applyBorder="1" applyAlignment="1">
      <alignment horizontal="center"/>
    </xf>
    <xf numFmtId="0" fontId="86" fillId="0" borderId="256" xfId="58" applyFont="1" applyBorder="1" applyAlignment="1">
      <alignment horizontal="center"/>
    </xf>
    <xf numFmtId="3" fontId="86" fillId="0" borderId="256" xfId="48" applyFont="1" applyBorder="1" applyAlignment="1">
      <alignment horizontal="center"/>
    </xf>
    <xf numFmtId="3" fontId="86" fillId="0" borderId="115" xfId="48" applyFont="1" applyBorder="1" applyAlignment="1">
      <alignment horizontal="center"/>
    </xf>
    <xf numFmtId="4" fontId="95" fillId="0" borderId="121" xfId="48" applyNumberFormat="1" applyFont="1" applyBorder="1" applyAlignment="1">
      <alignment horizontal="center"/>
    </xf>
    <xf numFmtId="0" fontId="86" fillId="0" borderId="253" xfId="58" applyFont="1" applyBorder="1" applyAlignment="1">
      <alignment horizontal="center"/>
    </xf>
    <xf numFmtId="0" fontId="4" fillId="0" borderId="256" xfId="59" applyBorder="1" applyAlignment="1">
      <alignment horizontal="center"/>
    </xf>
    <xf numFmtId="3" fontId="4" fillId="0" borderId="256" xfId="48" applyFont="1" applyBorder="1" applyAlignment="1">
      <alignment horizontal="center"/>
    </xf>
    <xf numFmtId="3" fontId="4" fillId="0" borderId="251" xfId="48" applyFont="1" applyBorder="1" applyAlignment="1">
      <alignment horizontal="center"/>
    </xf>
    <xf numFmtId="3" fontId="4" fillId="0" borderId="126" xfId="48" applyFont="1" applyBorder="1" applyAlignment="1">
      <alignment horizontal="center"/>
    </xf>
    <xf numFmtId="3" fontId="4" fillId="0" borderId="115" xfId="48" applyFont="1" applyBorder="1" applyAlignment="1">
      <alignment horizontal="center"/>
    </xf>
    <xf numFmtId="3" fontId="4" fillId="0" borderId="122" xfId="48" applyFont="1" applyBorder="1" applyAlignment="1">
      <alignment horizontal="center"/>
    </xf>
    <xf numFmtId="0" fontId="4" fillId="0" borderId="253" xfId="59" applyBorder="1" applyAlignment="1">
      <alignment horizontal="center"/>
    </xf>
    <xf numFmtId="3" fontId="4" fillId="0" borderId="253" xfId="48" applyFont="1" applyBorder="1" applyAlignment="1">
      <alignment horizontal="center"/>
    </xf>
    <xf numFmtId="3" fontId="4" fillId="0" borderId="124" xfId="48" applyFont="1" applyBorder="1" applyAlignment="1">
      <alignment horizontal="center"/>
    </xf>
    <xf numFmtId="0" fontId="86" fillId="0" borderId="0" xfId="58" applyFont="1"/>
    <xf numFmtId="0" fontId="85" fillId="0" borderId="0" xfId="58" applyFont="1"/>
    <xf numFmtId="0" fontId="86" fillId="0" borderId="116" xfId="58" applyFont="1" applyBorder="1" applyAlignment="1">
      <alignment horizontal="left"/>
    </xf>
    <xf numFmtId="0" fontId="86" fillId="0" borderId="0" xfId="58" applyFont="1" applyAlignment="1">
      <alignment horizontal="center"/>
    </xf>
    <xf numFmtId="3" fontId="94" fillId="0" borderId="123" xfId="48" applyFont="1" applyBorder="1" applyAlignment="1">
      <alignment horizontal="center"/>
    </xf>
    <xf numFmtId="0" fontId="86" fillId="0" borderId="257" xfId="58" applyFont="1" applyBorder="1" applyAlignment="1">
      <alignment horizontal="center"/>
    </xf>
    <xf numFmtId="3" fontId="86" fillId="0" borderId="251" xfId="48" applyFont="1" applyBorder="1" applyAlignment="1">
      <alignment horizontal="center"/>
    </xf>
    <xf numFmtId="3" fontId="86" fillId="0" borderId="116" xfId="48" applyFont="1" applyBorder="1" applyAlignment="1">
      <alignment horizontal="center"/>
    </xf>
    <xf numFmtId="3" fontId="86" fillId="0" borderId="121" xfId="48" applyFont="1" applyBorder="1" applyAlignment="1">
      <alignment horizontal="center"/>
    </xf>
    <xf numFmtId="3" fontId="86" fillId="0" borderId="253" xfId="48" applyFont="1" applyBorder="1" applyAlignment="1">
      <alignment horizontal="center"/>
    </xf>
    <xf numFmtId="3" fontId="86" fillId="0" borderId="254" xfId="48" applyFont="1" applyBorder="1" applyAlignment="1">
      <alignment horizontal="center"/>
    </xf>
    <xf numFmtId="3" fontId="86" fillId="0" borderId="123" xfId="48" applyFont="1" applyBorder="1" applyAlignment="1">
      <alignment horizontal="center"/>
    </xf>
    <xf numFmtId="3" fontId="0" fillId="0" borderId="0" xfId="72" applyFont="1" applyFill="1" applyBorder="1" applyAlignment="1" applyProtection="1"/>
    <xf numFmtId="0" fontId="38" fillId="0" borderId="0" xfId="0" applyFont="1" applyAlignment="1">
      <alignment horizontal="left"/>
    </xf>
    <xf numFmtId="0" fontId="0" fillId="0" borderId="0" xfId="0" applyAlignment="1">
      <alignment vertical="top" wrapText="1"/>
    </xf>
    <xf numFmtId="4" fontId="20" fillId="0" borderId="0" xfId="10" applyNumberFormat="1" applyFont="1" applyFill="1" applyBorder="1" applyAlignment="1"/>
    <xf numFmtId="0" fontId="0" fillId="0" borderId="250" xfId="0" applyBorder="1" applyAlignment="1">
      <alignment horizontal="left"/>
    </xf>
    <xf numFmtId="4" fontId="34" fillId="0" borderId="250" xfId="74" applyFont="1" applyFill="1" applyBorder="1" applyAlignment="1" applyProtection="1">
      <alignment horizontal="left"/>
    </xf>
    <xf numFmtId="3" fontId="69" fillId="10" borderId="151" xfId="0" applyNumberFormat="1" applyFont="1" applyFill="1" applyBorder="1"/>
    <xf numFmtId="0" fontId="2" fillId="0" borderId="0" xfId="0" applyFont="1" applyAlignment="1">
      <alignment horizontal="center" wrapText="1"/>
    </xf>
    <xf numFmtId="0" fontId="0" fillId="0" borderId="0" xfId="0" applyAlignment="1">
      <alignment horizontal="left"/>
    </xf>
    <xf numFmtId="0" fontId="2" fillId="0" borderId="197" xfId="0" applyFont="1" applyBorder="1"/>
    <xf numFmtId="0" fontId="2" fillId="0" borderId="197" xfId="0" applyFont="1" applyBorder="1" applyAlignment="1">
      <alignment horizontal="center"/>
    </xf>
    <xf numFmtId="1" fontId="2" fillId="0" borderId="197" xfId="0" applyNumberFormat="1" applyFont="1" applyBorder="1" applyAlignment="1">
      <alignment horizontal="center"/>
    </xf>
    <xf numFmtId="0" fontId="0" fillId="0" borderId="197" xfId="0" applyBorder="1"/>
    <xf numFmtId="0" fontId="0" fillId="0" borderId="197" xfId="0" applyBorder="1" applyAlignment="1">
      <alignment horizontal="center"/>
    </xf>
    <xf numFmtId="1" fontId="0" fillId="0" borderId="197" xfId="0" applyNumberFormat="1" applyBorder="1" applyAlignment="1">
      <alignment horizontal="center"/>
    </xf>
    <xf numFmtId="0" fontId="5" fillId="0" borderId="0" xfId="0" applyFont="1"/>
    <xf numFmtId="0" fontId="97" fillId="0" borderId="0" xfId="0" quotePrefix="1" applyFont="1"/>
    <xf numFmtId="4" fontId="34" fillId="7" borderId="79" xfId="74" applyFont="1" applyFill="1" applyBorder="1" applyAlignment="1" applyProtection="1">
      <alignment horizontal="right"/>
    </xf>
    <xf numFmtId="4" fontId="34" fillId="7" borderId="79" xfId="0" applyNumberFormat="1" applyFont="1" applyFill="1" applyBorder="1" applyAlignment="1">
      <alignment horizontal="right"/>
    </xf>
    <xf numFmtId="2" fontId="34" fillId="7" borderId="79" xfId="0" applyNumberFormat="1" applyFont="1" applyFill="1" applyBorder="1" applyAlignment="1">
      <alignment horizontal="right"/>
    </xf>
    <xf numFmtId="10" fontId="34" fillId="7" borderId="258" xfId="75" applyNumberFormat="1" applyFont="1" applyFill="1" applyBorder="1" applyAlignment="1" applyProtection="1">
      <alignment horizontal="right"/>
    </xf>
    <xf numFmtId="4" fontId="34" fillId="7" borderId="197" xfId="75" applyNumberFormat="1" applyFont="1" applyFill="1" applyBorder="1" applyAlignment="1" applyProtection="1">
      <alignment horizontal="right"/>
    </xf>
    <xf numFmtId="0" fontId="2" fillId="0" borderId="0" xfId="0" applyFont="1"/>
    <xf numFmtId="0" fontId="69" fillId="0" borderId="0" xfId="0" applyFont="1"/>
    <xf numFmtId="3" fontId="97" fillId="7" borderId="262" xfId="15" applyFont="1" applyFill="1" applyBorder="1" applyAlignment="1" applyProtection="1"/>
    <xf numFmtId="0" fontId="97" fillId="7" borderId="263" xfId="0" applyFont="1" applyFill="1" applyBorder="1"/>
    <xf numFmtId="0" fontId="97" fillId="7" borderId="264" xfId="0" applyFont="1" applyFill="1" applyBorder="1"/>
    <xf numFmtId="2" fontId="4" fillId="0" borderId="0" xfId="59" applyNumberFormat="1"/>
    <xf numFmtId="0" fontId="101" fillId="0" borderId="0" xfId="44" applyFont="1"/>
    <xf numFmtId="0" fontId="102" fillId="0" borderId="0" xfId="44" applyFont="1"/>
    <xf numFmtId="0" fontId="38" fillId="0" borderId="0" xfId="59" applyFont="1"/>
    <xf numFmtId="3" fontId="69" fillId="10" borderId="142" xfId="0" applyNumberFormat="1" applyFont="1" applyFill="1" applyBorder="1"/>
    <xf numFmtId="3" fontId="89" fillId="10" borderId="140" xfId="45" applyNumberFormat="1" applyFont="1" applyFill="1" applyBorder="1" applyAlignment="1">
      <alignment horizontal="left"/>
    </xf>
    <xf numFmtId="3" fontId="89" fillId="10" borderId="150" xfId="45" applyNumberFormat="1" applyFont="1" applyFill="1" applyBorder="1" applyAlignment="1">
      <alignment horizontal="left"/>
    </xf>
    <xf numFmtId="10" fontId="34" fillId="7" borderId="162" xfId="75" applyNumberFormat="1" applyFont="1" applyFill="1" applyBorder="1" applyAlignment="1" applyProtection="1">
      <alignment horizontal="right"/>
    </xf>
    <xf numFmtId="0" fontId="6" fillId="0" borderId="0" xfId="0" applyFont="1"/>
    <xf numFmtId="3" fontId="3" fillId="33" borderId="6" xfId="15" applyFont="1" applyFill="1" applyBorder="1" applyAlignment="1" applyProtection="1">
      <protection locked="0"/>
    </xf>
    <xf numFmtId="3" fontId="3" fillId="33" borderId="172" xfId="15" applyFont="1" applyFill="1" applyBorder="1" applyAlignment="1" applyProtection="1">
      <protection locked="0"/>
    </xf>
    <xf numFmtId="3" fontId="3" fillId="33" borderId="10" xfId="2" applyNumberFormat="1" applyFont="1" applyFill="1" applyBorder="1" applyAlignment="1" applyProtection="1">
      <protection locked="0"/>
    </xf>
    <xf numFmtId="3" fontId="3" fillId="33" borderId="6" xfId="2" applyNumberFormat="1" applyFont="1" applyFill="1" applyBorder="1" applyAlignment="1" applyProtection="1">
      <protection locked="0"/>
    </xf>
    <xf numFmtId="3" fontId="19" fillId="16" borderId="10" xfId="2" applyNumberFormat="1" applyFont="1" applyFill="1" applyBorder="1" applyAlignment="1" applyProtection="1"/>
    <xf numFmtId="1" fontId="16" fillId="16" borderId="195" xfId="15" applyNumberFormat="1" applyFont="1" applyFill="1" applyBorder="1" applyAlignment="1" applyProtection="1">
      <alignment horizontal="center" vertical="top" wrapText="1"/>
    </xf>
    <xf numFmtId="0" fontId="16" fillId="16" borderId="6" xfId="0" applyFont="1" applyFill="1" applyBorder="1" applyAlignment="1">
      <alignment horizontal="center" vertical="top" wrapText="1"/>
    </xf>
    <xf numFmtId="3" fontId="19" fillId="16" borderId="185" xfId="2" applyNumberFormat="1" applyFont="1" applyFill="1" applyBorder="1" applyAlignment="1" applyProtection="1"/>
    <xf numFmtId="3" fontId="0" fillId="16" borderId="10" xfId="2" applyNumberFormat="1" applyFont="1" applyFill="1" applyBorder="1" applyAlignment="1" applyProtection="1"/>
    <xf numFmtId="3" fontId="0" fillId="16" borderId="204" xfId="2" applyNumberFormat="1" applyFont="1" applyFill="1" applyBorder="1" applyAlignment="1" applyProtection="1"/>
    <xf numFmtId="3" fontId="0" fillId="16" borderId="211" xfId="2" applyNumberFormat="1" applyFont="1" applyFill="1" applyBorder="1" applyAlignment="1" applyProtection="1"/>
    <xf numFmtId="3" fontId="0" fillId="16" borderId="185" xfId="2" applyNumberFormat="1" applyFont="1" applyFill="1" applyBorder="1" applyAlignment="1" applyProtection="1"/>
    <xf numFmtId="3" fontId="0" fillId="16" borderId="172" xfId="2" applyNumberFormat="1" applyFont="1" applyFill="1" applyBorder="1" applyAlignment="1" applyProtection="1"/>
    <xf numFmtId="3" fontId="0" fillId="16" borderId="183" xfId="2" applyNumberFormat="1" applyFont="1" applyFill="1" applyBorder="1" applyAlignment="1" applyProtection="1"/>
    <xf numFmtId="3" fontId="0" fillId="16" borderId="6" xfId="2" applyNumberFormat="1" applyFont="1" applyFill="1" applyBorder="1" applyAlignment="1" applyProtection="1"/>
    <xf numFmtId="3" fontId="0" fillId="16" borderId="184" xfId="2" applyNumberFormat="1" applyFont="1" applyFill="1" applyBorder="1" applyAlignment="1" applyProtection="1"/>
    <xf numFmtId="3" fontId="0" fillId="16" borderId="202" xfId="2" applyNumberFormat="1" applyFont="1" applyFill="1" applyBorder="1" applyAlignment="1" applyProtection="1"/>
    <xf numFmtId="3" fontId="0" fillId="16" borderId="32" xfId="2" applyNumberFormat="1" applyFont="1" applyFill="1" applyBorder="1" applyAlignment="1" applyProtection="1"/>
    <xf numFmtId="3" fontId="0" fillId="16" borderId="8" xfId="2" applyNumberFormat="1" applyFont="1" applyFill="1" applyBorder="1" applyAlignment="1" applyProtection="1"/>
    <xf numFmtId="3" fontId="0" fillId="16" borderId="270" xfId="2" applyNumberFormat="1" applyFont="1" applyFill="1" applyBorder="1" applyAlignment="1" applyProtection="1"/>
    <xf numFmtId="3" fontId="0" fillId="7" borderId="213" xfId="15" applyFont="1" applyFill="1" applyBorder="1" applyAlignment="1" applyProtection="1"/>
    <xf numFmtId="3" fontId="14" fillId="7" borderId="0" xfId="15" applyFont="1" applyFill="1" applyBorder="1" applyAlignment="1" applyProtection="1">
      <alignment horizontal="right"/>
    </xf>
    <xf numFmtId="3" fontId="0" fillId="7" borderId="0" xfId="15" applyFont="1" applyFill="1" applyBorder="1" applyAlignment="1" applyProtection="1"/>
    <xf numFmtId="3" fontId="2" fillId="7" borderId="0" xfId="15" applyFont="1" applyFill="1" applyBorder="1" applyAlignment="1" applyProtection="1">
      <alignment horizontal="left"/>
    </xf>
    <xf numFmtId="3" fontId="27" fillId="7" borderId="42" xfId="15" applyFont="1" applyFill="1" applyBorder="1" applyAlignment="1" applyProtection="1"/>
    <xf numFmtId="3" fontId="16" fillId="7" borderId="19" xfId="15" applyFont="1" applyFill="1" applyBorder="1" applyAlignment="1" applyProtection="1"/>
    <xf numFmtId="3" fontId="0" fillId="7" borderId="4" xfId="15" applyFont="1" applyFill="1" applyBorder="1" applyAlignment="1" applyProtection="1"/>
    <xf numFmtId="3" fontId="14" fillId="7" borderId="0" xfId="15" applyFont="1" applyFill="1" applyBorder="1" applyAlignment="1" applyProtection="1">
      <alignment horizontal="left"/>
    </xf>
    <xf numFmtId="3" fontId="27" fillId="7" borderId="0" xfId="15" applyFont="1" applyFill="1" applyBorder="1" applyAlignment="1" applyProtection="1"/>
    <xf numFmtId="3" fontId="20" fillId="7" borderId="0" xfId="15" applyFont="1" applyFill="1" applyBorder="1" applyAlignment="1" applyProtection="1"/>
    <xf numFmtId="3" fontId="6" fillId="7" borderId="0" xfId="7" applyNumberFormat="1" applyFill="1" applyBorder="1" applyAlignment="1" applyProtection="1"/>
    <xf numFmtId="3" fontId="14" fillId="7" borderId="4" xfId="15" applyFont="1" applyFill="1" applyBorder="1" applyAlignment="1" applyProtection="1"/>
    <xf numFmtId="3" fontId="48" fillId="7" borderId="0" xfId="15" applyFont="1" applyFill="1" applyBorder="1" applyAlignment="1" applyProtection="1"/>
    <xf numFmtId="3" fontId="16" fillId="7" borderId="0" xfId="15" applyFont="1" applyFill="1" applyBorder="1" applyAlignment="1" applyProtection="1">
      <alignment horizontal="right"/>
    </xf>
    <xf numFmtId="3" fontId="34" fillId="33" borderId="24" xfId="0" applyNumberFormat="1" applyFont="1" applyFill="1" applyBorder="1" applyProtection="1">
      <protection locked="0"/>
    </xf>
    <xf numFmtId="3" fontId="21" fillId="33" borderId="56" xfId="11" applyFont="1" applyFill="1" applyBorder="1" applyAlignment="1" applyProtection="1">
      <protection locked="0"/>
    </xf>
    <xf numFmtId="0" fontId="34" fillId="33" borderId="24" xfId="0" applyFont="1" applyFill="1" applyBorder="1" applyProtection="1">
      <protection locked="0"/>
    </xf>
    <xf numFmtId="3" fontId="34" fillId="33" borderId="24" xfId="1" applyNumberFormat="1" applyFont="1" applyFill="1" applyBorder="1" applyAlignment="1" applyProtection="1">
      <protection locked="0"/>
    </xf>
    <xf numFmtId="3" fontId="34" fillId="33" borderId="57" xfId="1" applyNumberFormat="1" applyFont="1" applyFill="1" applyBorder="1" applyAlignment="1" applyProtection="1">
      <protection locked="0"/>
    </xf>
    <xf numFmtId="0" fontId="34" fillId="33" borderId="59" xfId="0" applyFont="1" applyFill="1" applyBorder="1" applyProtection="1">
      <protection locked="0"/>
    </xf>
    <xf numFmtId="175" fontId="34" fillId="33" borderId="24" xfId="0" applyNumberFormat="1" applyFont="1" applyFill="1" applyBorder="1" applyProtection="1">
      <protection locked="0"/>
    </xf>
    <xf numFmtId="10" fontId="34" fillId="33" borderId="24" xfId="0" applyNumberFormat="1" applyFont="1" applyFill="1" applyBorder="1" applyProtection="1">
      <protection locked="0"/>
    </xf>
    <xf numFmtId="0" fontId="34" fillId="33" borderId="24" xfId="0" applyFont="1" applyFill="1" applyBorder="1" applyAlignment="1" applyProtection="1">
      <alignment horizontal="center"/>
      <protection locked="0"/>
    </xf>
    <xf numFmtId="3" fontId="34" fillId="33" borderId="24" xfId="1" applyNumberFormat="1" applyFont="1" applyFill="1" applyBorder="1" applyAlignment="1" applyProtection="1">
      <alignment horizontal="right"/>
      <protection locked="0"/>
    </xf>
    <xf numFmtId="9" fontId="34" fillId="33" borderId="24" xfId="0" applyNumberFormat="1" applyFont="1" applyFill="1" applyBorder="1" applyProtection="1">
      <protection locked="0"/>
    </xf>
    <xf numFmtId="3" fontId="34" fillId="33" borderId="25" xfId="1" applyNumberFormat="1" applyFont="1" applyFill="1" applyBorder="1" applyAlignment="1" applyProtection="1">
      <alignment horizontal="right"/>
      <protection locked="0"/>
    </xf>
    <xf numFmtId="3" fontId="34" fillId="33" borderId="35" xfId="1" applyNumberFormat="1" applyFont="1" applyFill="1" applyBorder="1" applyAlignment="1" applyProtection="1">
      <protection locked="0"/>
    </xf>
    <xf numFmtId="0" fontId="34" fillId="33" borderId="24" xfId="0" applyFont="1" applyFill="1" applyBorder="1" applyAlignment="1" applyProtection="1">
      <alignment horizontal="center" wrapText="1"/>
      <protection locked="0"/>
    </xf>
    <xf numFmtId="3" fontId="34" fillId="33" borderId="24" xfId="1" applyNumberFormat="1" applyFont="1" applyFill="1" applyBorder="1" applyAlignment="1" applyProtection="1">
      <alignment horizontal="center"/>
      <protection locked="0"/>
    </xf>
    <xf numFmtId="3" fontId="34" fillId="33" borderId="57" xfId="1" applyNumberFormat="1" applyFont="1" applyFill="1" applyBorder="1" applyAlignment="1" applyProtection="1">
      <alignment horizontal="center"/>
      <protection locked="0"/>
    </xf>
    <xf numFmtId="0" fontId="0" fillId="7" borderId="5" xfId="0" applyFill="1" applyBorder="1"/>
    <xf numFmtId="3" fontId="16" fillId="7" borderId="19" xfId="0" applyNumberFormat="1" applyFont="1" applyFill="1" applyBorder="1"/>
    <xf numFmtId="0" fontId="0" fillId="7" borderId="21" xfId="0" applyFill="1" applyBorder="1"/>
    <xf numFmtId="3" fontId="16" fillId="7" borderId="22" xfId="0" applyNumberFormat="1" applyFont="1" applyFill="1" applyBorder="1"/>
    <xf numFmtId="0" fontId="0" fillId="7" borderId="3" xfId="0" applyFill="1" applyBorder="1"/>
    <xf numFmtId="0" fontId="14" fillId="14" borderId="17" xfId="0" applyFont="1" applyFill="1" applyBorder="1"/>
    <xf numFmtId="0" fontId="17" fillId="14" borderId="18" xfId="0" applyFont="1" applyFill="1" applyBorder="1" applyAlignment="1">
      <alignment horizontal="center"/>
    </xf>
    <xf numFmtId="4" fontId="34" fillId="33" borderId="79" xfId="74" applyFont="1" applyFill="1" applyBorder="1" applyAlignment="1" applyProtection="1">
      <alignment horizontal="right"/>
      <protection locked="0"/>
    </xf>
    <xf numFmtId="4" fontId="34" fillId="33" borderId="197" xfId="75" applyNumberFormat="1" applyFont="1" applyFill="1" applyBorder="1" applyAlignment="1" applyProtection="1">
      <alignment horizontal="right"/>
      <protection locked="0"/>
    </xf>
    <xf numFmtId="10" fontId="34" fillId="33" borderId="258" xfId="75" applyNumberFormat="1" applyFont="1" applyFill="1" applyBorder="1" applyAlignment="1" applyProtection="1">
      <alignment horizontal="right"/>
      <protection locked="0"/>
    </xf>
    <xf numFmtId="3" fontId="3" fillId="7" borderId="271" xfId="0" applyNumberFormat="1" applyFont="1" applyFill="1" applyBorder="1" applyAlignment="1">
      <alignment horizontal="center"/>
    </xf>
    <xf numFmtId="3" fontId="3" fillId="33" borderId="271" xfId="0" applyNumberFormat="1" applyFont="1" applyFill="1" applyBorder="1" applyAlignment="1" applyProtection="1">
      <alignment horizontal="center"/>
      <protection locked="0"/>
    </xf>
    <xf numFmtId="3" fontId="3" fillId="33" borderId="164" xfId="2" applyNumberFormat="1" applyFont="1" applyFill="1" applyBorder="1" applyAlignment="1" applyProtection="1">
      <protection locked="0"/>
    </xf>
    <xf numFmtId="3" fontId="3" fillId="33" borderId="172" xfId="2" applyNumberFormat="1" applyFont="1" applyFill="1" applyBorder="1" applyAlignment="1" applyProtection="1">
      <protection locked="0"/>
    </xf>
    <xf numFmtId="3" fontId="3" fillId="33" borderId="204" xfId="2" applyNumberFormat="1" applyFont="1" applyFill="1" applyBorder="1" applyAlignment="1" applyProtection="1">
      <protection locked="0"/>
    </xf>
    <xf numFmtId="3" fontId="3" fillId="33" borderId="32" xfId="2" applyNumberFormat="1" applyFont="1" applyFill="1" applyBorder="1" applyAlignment="1" applyProtection="1">
      <protection locked="0"/>
    </xf>
    <xf numFmtId="3" fontId="3" fillId="33" borderId="179" xfId="2" applyNumberFormat="1" applyFont="1" applyFill="1" applyBorder="1" applyAlignment="1" applyProtection="1">
      <protection locked="0"/>
    </xf>
    <xf numFmtId="3" fontId="2" fillId="33" borderId="172" xfId="2" applyNumberFormat="1" applyFont="1" applyFill="1" applyBorder="1" applyAlignment="1" applyProtection="1">
      <protection locked="0"/>
    </xf>
    <xf numFmtId="3" fontId="3" fillId="33" borderId="80" xfId="2" applyNumberFormat="1" applyFont="1" applyFill="1" applyBorder="1" applyAlignment="1" applyProtection="1">
      <protection locked="0"/>
    </xf>
    <xf numFmtId="3" fontId="3" fillId="33" borderId="81" xfId="2" applyNumberFormat="1" applyFont="1" applyFill="1" applyBorder="1" applyAlignment="1" applyProtection="1">
      <protection locked="0"/>
    </xf>
    <xf numFmtId="0" fontId="3" fillId="33" borderId="203" xfId="0" applyFont="1" applyFill="1" applyBorder="1" applyProtection="1">
      <protection locked="0"/>
    </xf>
    <xf numFmtId="3" fontId="3" fillId="33" borderId="186" xfId="2" applyNumberFormat="1" applyFont="1" applyFill="1" applyBorder="1" applyAlignment="1" applyProtection="1">
      <protection locked="0"/>
    </xf>
    <xf numFmtId="3" fontId="3" fillId="33" borderId="275" xfId="2" applyNumberFormat="1" applyFont="1" applyFill="1" applyBorder="1" applyAlignment="1" applyProtection="1">
      <protection locked="0"/>
    </xf>
    <xf numFmtId="3" fontId="3" fillId="7" borderId="164" xfId="15" applyFont="1" applyFill="1" applyBorder="1" applyAlignment="1" applyProtection="1"/>
    <xf numFmtId="3" fontId="3" fillId="7" borderId="172" xfId="15" applyFont="1" applyFill="1" applyBorder="1" applyAlignment="1" applyProtection="1"/>
    <xf numFmtId="3" fontId="35" fillId="7" borderId="0" xfId="15" applyFont="1" applyFill="1" applyBorder="1" applyAlignment="1" applyProtection="1"/>
    <xf numFmtId="3" fontId="69" fillId="10" borderId="199" xfId="15" applyFont="1" applyFill="1" applyBorder="1" applyAlignment="1" applyProtection="1"/>
    <xf numFmtId="3" fontId="71" fillId="18" borderId="200" xfId="15" applyFont="1" applyFill="1" applyBorder="1" applyAlignment="1" applyProtection="1"/>
    <xf numFmtId="0" fontId="76" fillId="20" borderId="0" xfId="0" applyFont="1" applyFill="1" applyAlignment="1">
      <alignment horizontal="center"/>
    </xf>
    <xf numFmtId="0" fontId="14" fillId="7" borderId="193" xfId="0" applyFont="1" applyFill="1" applyBorder="1"/>
    <xf numFmtId="0" fontId="2" fillId="7" borderId="208" xfId="0" applyFont="1" applyFill="1" applyBorder="1"/>
    <xf numFmtId="0" fontId="69" fillId="10" borderId="188" xfId="0" applyFont="1" applyFill="1" applyBorder="1"/>
    <xf numFmtId="0" fontId="14" fillId="7" borderId="176" xfId="0" applyFont="1" applyFill="1" applyBorder="1"/>
    <xf numFmtId="0" fontId="0" fillId="7" borderId="220" xfId="0" applyFill="1" applyBorder="1" applyAlignment="1">
      <alignment horizontal="left"/>
    </xf>
    <xf numFmtId="0" fontId="0" fillId="7" borderId="221" xfId="0" applyFill="1" applyBorder="1"/>
    <xf numFmtId="0" fontId="0" fillId="7" borderId="209" xfId="0" applyFill="1" applyBorder="1"/>
    <xf numFmtId="0" fontId="65" fillId="0" borderId="0" xfId="21" applyFont="1"/>
    <xf numFmtId="0" fontId="39" fillId="0" borderId="0" xfId="21" applyFont="1" applyAlignment="1">
      <alignment horizontal="center"/>
    </xf>
    <xf numFmtId="0" fontId="66" fillId="9" borderId="1" xfId="21" applyFont="1" applyFill="1" applyBorder="1"/>
    <xf numFmtId="0" fontId="69" fillId="9" borderId="2" xfId="21" applyFont="1" applyFill="1" applyBorder="1"/>
    <xf numFmtId="0" fontId="69" fillId="10" borderId="13" xfId="21" applyFont="1" applyFill="1" applyBorder="1"/>
    <xf numFmtId="3" fontId="38" fillId="7" borderId="47" xfId="0" applyNumberFormat="1" applyFont="1" applyFill="1" applyBorder="1"/>
    <xf numFmtId="3" fontId="0" fillId="7" borderId="31" xfId="0" applyNumberFormat="1" applyFill="1" applyBorder="1"/>
    <xf numFmtId="3" fontId="0" fillId="7" borderId="31" xfId="0" applyNumberFormat="1" applyFill="1" applyBorder="1" applyAlignment="1">
      <alignment horizontal="center"/>
    </xf>
    <xf numFmtId="0" fontId="0" fillId="7" borderId="31" xfId="21" applyFont="1" applyFill="1" applyBorder="1"/>
    <xf numFmtId="3" fontId="40" fillId="16" borderId="19" xfId="0" applyNumberFormat="1" applyFont="1" applyFill="1" applyBorder="1"/>
    <xf numFmtId="3" fontId="38" fillId="7" borderId="4" xfId="0" applyNumberFormat="1" applyFont="1" applyFill="1" applyBorder="1"/>
    <xf numFmtId="3" fontId="0" fillId="7" borderId="0" xfId="0" applyNumberFormat="1" applyFill="1" applyAlignment="1">
      <alignment horizontal="center"/>
    </xf>
    <xf numFmtId="0" fontId="0" fillId="7" borderId="0" xfId="21" applyFont="1" applyFill="1"/>
    <xf numFmtId="3" fontId="41" fillId="7" borderId="8" xfId="0" applyNumberFormat="1" applyFont="1" applyFill="1" applyBorder="1"/>
    <xf numFmtId="0" fontId="38" fillId="7" borderId="4" xfId="21" applyFont="1" applyFill="1" applyBorder="1"/>
    <xf numFmtId="0" fontId="30" fillId="7" borderId="0" xfId="21" applyFont="1" applyFill="1" applyAlignment="1">
      <alignment horizontal="right"/>
    </xf>
    <xf numFmtId="3" fontId="42" fillId="7" borderId="48" xfId="22" applyNumberFormat="1" applyFont="1" applyFill="1" applyBorder="1"/>
    <xf numFmtId="0" fontId="0" fillId="7" borderId="8" xfId="21" applyFont="1" applyFill="1" applyBorder="1"/>
    <xf numFmtId="3" fontId="38" fillId="7" borderId="8" xfId="22" applyNumberFormat="1" applyFont="1" applyFill="1" applyBorder="1"/>
    <xf numFmtId="0" fontId="30" fillId="7" borderId="0" xfId="21" applyFont="1" applyFill="1"/>
    <xf numFmtId="4" fontId="41" fillId="7" borderId="0" xfId="21" applyNumberFormat="1" applyFont="1" applyFill="1"/>
    <xf numFmtId="0" fontId="0" fillId="7" borderId="47" xfId="21" applyFont="1" applyFill="1" applyBorder="1"/>
    <xf numFmtId="0" fontId="30" fillId="7" borderId="31" xfId="21" applyFont="1" applyFill="1" applyBorder="1" applyAlignment="1">
      <alignment horizontal="right"/>
    </xf>
    <xf numFmtId="3" fontId="31" fillId="7" borderId="19" xfId="21" applyNumberFormat="1" applyFont="1" applyFill="1" applyBorder="1"/>
    <xf numFmtId="0" fontId="30" fillId="7" borderId="31" xfId="21" applyFont="1" applyFill="1" applyBorder="1"/>
    <xf numFmtId="3" fontId="38" fillId="7" borderId="8" xfId="21" applyNumberFormat="1" applyFont="1" applyFill="1" applyBorder="1"/>
    <xf numFmtId="0" fontId="0" fillId="7" borderId="0" xfId="21" applyFont="1" applyFill="1" applyAlignment="1">
      <alignment horizontal="right"/>
    </xf>
    <xf numFmtId="3" fontId="20" fillId="7" borderId="0" xfId="21" applyNumberFormat="1" applyFont="1" applyFill="1"/>
    <xf numFmtId="3" fontId="41" fillId="7" borderId="8" xfId="21" applyNumberFormat="1" applyFont="1" applyFill="1" applyBorder="1"/>
    <xf numFmtId="0" fontId="30" fillId="17" borderId="28" xfId="0" applyFont="1" applyFill="1" applyBorder="1"/>
    <xf numFmtId="0" fontId="30" fillId="17" borderId="41" xfId="21" applyFont="1" applyFill="1" applyBorder="1"/>
    <xf numFmtId="3" fontId="43" fillId="17" borderId="19" xfId="21" applyNumberFormat="1" applyFont="1" applyFill="1" applyBorder="1"/>
    <xf numFmtId="0" fontId="16" fillId="7" borderId="33" xfId="21" applyFont="1" applyFill="1" applyBorder="1" applyAlignment="1">
      <alignment horizontal="center"/>
    </xf>
    <xf numFmtId="3" fontId="40" fillId="7" borderId="19" xfId="21" applyNumberFormat="1" applyFont="1" applyFill="1" applyBorder="1"/>
    <xf numFmtId="0" fontId="13" fillId="7" borderId="0" xfId="21" applyFont="1" applyFill="1"/>
    <xf numFmtId="0" fontId="0" fillId="7" borderId="41" xfId="21" applyFont="1" applyFill="1" applyBorder="1"/>
    <xf numFmtId="0" fontId="27" fillId="7" borderId="0" xfId="21" applyFont="1" applyFill="1"/>
    <xf numFmtId="3" fontId="0" fillId="7" borderId="8" xfId="21" applyNumberFormat="1" applyFont="1" applyFill="1" applyBorder="1"/>
    <xf numFmtId="3" fontId="43" fillId="17" borderId="19" xfId="21" applyNumberFormat="1" applyFont="1" applyFill="1" applyBorder="1" applyAlignment="1">
      <alignment horizontal="right"/>
    </xf>
    <xf numFmtId="0" fontId="16" fillId="7" borderId="50" xfId="21" applyFont="1" applyFill="1" applyBorder="1" applyAlignment="1">
      <alignment horizontal="center"/>
    </xf>
    <xf numFmtId="4" fontId="30" fillId="17" borderId="28" xfId="0" applyNumberFormat="1" applyFont="1" applyFill="1" applyBorder="1"/>
    <xf numFmtId="0" fontId="0" fillId="17" borderId="41" xfId="0" applyFill="1" applyBorder="1"/>
    <xf numFmtId="0" fontId="0" fillId="17" borderId="41" xfId="21" applyFont="1" applyFill="1" applyBorder="1"/>
    <xf numFmtId="3" fontId="43" fillId="17" borderId="19" xfId="0" applyNumberFormat="1" applyFont="1" applyFill="1" applyBorder="1"/>
    <xf numFmtId="0" fontId="16" fillId="7" borderId="19" xfId="21" applyFont="1" applyFill="1" applyBorder="1" applyAlignment="1">
      <alignment horizontal="center"/>
    </xf>
    <xf numFmtId="0" fontId="38" fillId="7" borderId="213" xfId="21" applyFont="1" applyFill="1" applyBorder="1"/>
    <xf numFmtId="4" fontId="30" fillId="17" borderId="0" xfId="0" applyNumberFormat="1" applyFont="1" applyFill="1"/>
    <xf numFmtId="0" fontId="0" fillId="17" borderId="0" xfId="0" applyFill="1"/>
    <xf numFmtId="0" fontId="0" fillId="17" borderId="0" xfId="21" applyFont="1" applyFill="1"/>
    <xf numFmtId="3" fontId="43" fillId="17" borderId="0" xfId="0" applyNumberFormat="1" applyFont="1" applyFill="1"/>
    <xf numFmtId="0" fontId="16" fillId="7" borderId="0" xfId="21" applyFont="1" applyFill="1" applyAlignment="1">
      <alignment horizontal="center"/>
    </xf>
    <xf numFmtId="3" fontId="40" fillId="7" borderId="0" xfId="21" applyNumberFormat="1" applyFont="1" applyFill="1"/>
    <xf numFmtId="0" fontId="0" fillId="7" borderId="245" xfId="21" applyFont="1" applyFill="1" applyBorder="1"/>
    <xf numFmtId="0" fontId="4" fillId="7" borderId="0" xfId="21" applyFont="1" applyFill="1"/>
    <xf numFmtId="3" fontId="44" fillId="7" borderId="0" xfId="21" applyNumberFormat="1" applyFont="1" applyFill="1"/>
    <xf numFmtId="0" fontId="30" fillId="7" borderId="0" xfId="0" applyFont="1" applyFill="1" applyAlignment="1">
      <alignment horizontal="right"/>
    </xf>
    <xf numFmtId="0" fontId="42" fillId="7" borderId="19" xfId="21" applyFont="1" applyFill="1" applyBorder="1"/>
    <xf numFmtId="0" fontId="0" fillId="16" borderId="0" xfId="21" applyFont="1" applyFill="1"/>
    <xf numFmtId="0" fontId="14" fillId="16" borderId="0" xfId="21" applyFont="1" applyFill="1" applyAlignment="1">
      <alignment horizontal="right"/>
    </xf>
    <xf numFmtId="3" fontId="40" fillId="16" borderId="19" xfId="21" applyNumberFormat="1" applyFont="1" applyFill="1" applyBorder="1"/>
    <xf numFmtId="0" fontId="38" fillId="7" borderId="47" xfId="21" applyFont="1" applyFill="1" applyBorder="1"/>
    <xf numFmtId="0" fontId="5" fillId="7" borderId="31" xfId="21" applyFont="1" applyFill="1" applyBorder="1" applyAlignment="1">
      <alignment horizontal="center"/>
    </xf>
    <xf numFmtId="0" fontId="0" fillId="7" borderId="32" xfId="21" applyFont="1" applyFill="1" applyBorder="1"/>
    <xf numFmtId="0" fontId="66" fillId="9" borderId="4" xfId="21" applyFont="1" applyFill="1" applyBorder="1"/>
    <xf numFmtId="0" fontId="69" fillId="9" borderId="0" xfId="21" applyFont="1" applyFill="1"/>
    <xf numFmtId="3" fontId="69" fillId="10" borderId="8" xfId="21" applyNumberFormat="1" applyFont="1" applyFill="1" applyBorder="1"/>
    <xf numFmtId="0" fontId="0" fillId="7" borderId="4" xfId="21" applyFont="1" applyFill="1" applyBorder="1"/>
    <xf numFmtId="0" fontId="4" fillId="7" borderId="0" xfId="21" applyFont="1" applyFill="1" applyAlignment="1">
      <alignment horizontal="right"/>
    </xf>
    <xf numFmtId="3" fontId="42" fillId="7" borderId="19" xfId="21" applyNumberFormat="1" applyFont="1" applyFill="1" applyBorder="1"/>
    <xf numFmtId="0" fontId="45" fillId="7" borderId="0" xfId="21" applyFont="1" applyFill="1"/>
    <xf numFmtId="2" fontId="0" fillId="7" borderId="0" xfId="21" applyNumberFormat="1" applyFont="1" applyFill="1"/>
    <xf numFmtId="3" fontId="31" fillId="7" borderId="0" xfId="21" applyNumberFormat="1" applyFont="1" applyFill="1"/>
    <xf numFmtId="3" fontId="32" fillId="7" borderId="33" xfId="21" applyNumberFormat="1" applyFont="1" applyFill="1" applyBorder="1" applyAlignment="1">
      <alignment horizontal="center"/>
    </xf>
    <xf numFmtId="0" fontId="0" fillId="7" borderId="31" xfId="21" applyFont="1" applyFill="1" applyBorder="1" applyAlignment="1">
      <alignment horizontal="center"/>
    </xf>
    <xf numFmtId="0" fontId="30" fillId="7" borderId="49" xfId="21" applyFont="1" applyFill="1" applyBorder="1" applyAlignment="1">
      <alignment horizontal="center" vertical="center"/>
    </xf>
    <xf numFmtId="0" fontId="13" fillId="7" borderId="33" xfId="21" applyFont="1" applyFill="1" applyBorder="1" applyAlignment="1">
      <alignment horizontal="center"/>
    </xf>
    <xf numFmtId="4" fontId="13" fillId="7" borderId="33" xfId="21" applyNumberFormat="1" applyFont="1" applyFill="1" applyBorder="1" applyAlignment="1">
      <alignment horizontal="center"/>
    </xf>
    <xf numFmtId="0" fontId="46" fillId="8" borderId="31" xfId="21" applyFont="1" applyFill="1" applyBorder="1" applyAlignment="1">
      <alignment horizontal="center"/>
    </xf>
    <xf numFmtId="3" fontId="40" fillId="16" borderId="11" xfId="21" applyNumberFormat="1" applyFont="1" applyFill="1" applyBorder="1"/>
    <xf numFmtId="0" fontId="67" fillId="23" borderId="16" xfId="21" applyFont="1" applyFill="1" applyBorder="1"/>
    <xf numFmtId="0" fontId="68" fillId="23" borderId="22" xfId="21" applyFont="1" applyFill="1" applyBorder="1" applyAlignment="1">
      <alignment horizontal="right"/>
    </xf>
    <xf numFmtId="4" fontId="67" fillId="23" borderId="22" xfId="21" applyNumberFormat="1" applyFont="1" applyFill="1" applyBorder="1" applyAlignment="1">
      <alignment horizontal="center"/>
    </xf>
    <xf numFmtId="0" fontId="69" fillId="10" borderId="14" xfId="21" applyFont="1" applyFill="1" applyBorder="1"/>
    <xf numFmtId="0" fontId="68" fillId="23" borderId="29" xfId="21" applyFont="1" applyFill="1" applyBorder="1" applyAlignment="1">
      <alignment horizontal="right"/>
    </xf>
    <xf numFmtId="3" fontId="67" fillId="23" borderId="22" xfId="21" applyNumberFormat="1" applyFont="1" applyFill="1" applyBorder="1" applyAlignment="1">
      <alignment horizontal="center"/>
    </xf>
    <xf numFmtId="0" fontId="67" fillId="23" borderId="29" xfId="21" applyFont="1" applyFill="1" applyBorder="1"/>
    <xf numFmtId="0" fontId="69" fillId="23" borderId="43" xfId="21" applyFont="1" applyFill="1" applyBorder="1"/>
    <xf numFmtId="3" fontId="70" fillId="23" borderId="89" xfId="21" applyNumberFormat="1" applyFont="1" applyFill="1" applyBorder="1" applyAlignment="1">
      <alignment horizontal="right"/>
    </xf>
    <xf numFmtId="0" fontId="22" fillId="27" borderId="4" xfId="21" applyFont="1" applyFill="1" applyBorder="1"/>
    <xf numFmtId="0" fontId="0" fillId="27" borderId="0" xfId="21" applyFont="1" applyFill="1"/>
    <xf numFmtId="3" fontId="49" fillId="7" borderId="0" xfId="15" applyFont="1" applyFill="1" applyBorder="1" applyAlignment="1" applyProtection="1"/>
    <xf numFmtId="3" fontId="24" fillId="7" borderId="19" xfId="21" applyNumberFormat="1" applyFont="1" applyFill="1" applyBorder="1"/>
    <xf numFmtId="3" fontId="13" fillId="7" borderId="19" xfId="21" applyNumberFormat="1" applyFont="1" applyFill="1" applyBorder="1"/>
    <xf numFmtId="3" fontId="0" fillId="7" borderId="0" xfId="21" applyNumberFormat="1" applyFont="1" applyFill="1"/>
    <xf numFmtId="3" fontId="13" fillId="7" borderId="0" xfId="21" applyNumberFormat="1" applyFont="1" applyFill="1"/>
    <xf numFmtId="0" fontId="14" fillId="7" borderId="0" xfId="21" applyFont="1" applyFill="1" applyAlignment="1">
      <alignment horizontal="left"/>
    </xf>
    <xf numFmtId="3" fontId="16" fillId="7" borderId="0" xfId="21" applyNumberFormat="1" applyFont="1" applyFill="1"/>
    <xf numFmtId="3" fontId="27" fillId="7" borderId="41" xfId="21" applyNumberFormat="1" applyFont="1" applyFill="1" applyBorder="1"/>
    <xf numFmtId="3" fontId="0" fillId="7" borderId="33" xfId="21" applyNumberFormat="1" applyFont="1" applyFill="1" applyBorder="1"/>
    <xf numFmtId="3" fontId="16" fillId="14" borderId="0" xfId="21" applyNumberFormat="1" applyFont="1" applyFill="1"/>
    <xf numFmtId="3" fontId="27" fillId="14" borderId="0" xfId="21" applyNumberFormat="1" applyFont="1" applyFill="1"/>
    <xf numFmtId="3" fontId="0" fillId="14" borderId="0" xfId="21" applyNumberFormat="1" applyFont="1" applyFill="1"/>
    <xf numFmtId="3" fontId="27" fillId="14" borderId="19" xfId="21" applyNumberFormat="1" applyFont="1" applyFill="1" applyBorder="1"/>
    <xf numFmtId="0" fontId="0" fillId="14" borderId="8" xfId="21" applyFont="1" applyFill="1" applyBorder="1"/>
    <xf numFmtId="0" fontId="67" fillId="18" borderId="3" xfId="21" applyFont="1" applyFill="1" applyBorder="1"/>
    <xf numFmtId="3" fontId="73" fillId="18" borderId="14" xfId="21" applyNumberFormat="1" applyFont="1" applyFill="1" applyBorder="1"/>
    <xf numFmtId="0" fontId="73" fillId="18" borderId="14" xfId="21" applyFont="1" applyFill="1" applyBorder="1"/>
    <xf numFmtId="3" fontId="67" fillId="10" borderId="7" xfId="21" applyNumberFormat="1" applyFont="1" applyFill="1" applyBorder="1"/>
    <xf numFmtId="0" fontId="74" fillId="10" borderId="0" xfId="21" applyFont="1" applyFill="1"/>
    <xf numFmtId="3" fontId="74" fillId="10" borderId="0" xfId="21" applyNumberFormat="1" applyFont="1" applyFill="1"/>
    <xf numFmtId="0" fontId="27" fillId="0" borderId="0" xfId="21" applyFont="1"/>
    <xf numFmtId="3" fontId="27" fillId="0" borderId="0" xfId="21" applyNumberFormat="1" applyFont="1"/>
    <xf numFmtId="0" fontId="0" fillId="12" borderId="2" xfId="21" applyFont="1" applyFill="1" applyBorder="1"/>
    <xf numFmtId="0" fontId="0" fillId="13" borderId="13" xfId="21" applyFont="1" applyFill="1" applyBorder="1"/>
    <xf numFmtId="3" fontId="40" fillId="16" borderId="20" xfId="0" applyNumberFormat="1" applyFont="1" applyFill="1" applyBorder="1"/>
    <xf numFmtId="3" fontId="40" fillId="7" borderId="8" xfId="0" applyNumberFormat="1" applyFont="1" applyFill="1" applyBorder="1"/>
    <xf numFmtId="0" fontId="13" fillId="7" borderId="8" xfId="21" applyFont="1" applyFill="1" applyBorder="1"/>
    <xf numFmtId="3" fontId="40" fillId="7" borderId="8" xfId="22" applyNumberFormat="1" applyFont="1" applyFill="1" applyBorder="1"/>
    <xf numFmtId="3" fontId="40" fillId="7" borderId="8" xfId="21" applyNumberFormat="1" applyFont="1" applyFill="1" applyBorder="1"/>
    <xf numFmtId="3" fontId="43" fillId="7" borderId="19" xfId="21" applyNumberFormat="1" applyFont="1" applyFill="1" applyBorder="1"/>
    <xf numFmtId="0" fontId="0" fillId="7" borderId="19" xfId="21" applyFont="1" applyFill="1" applyBorder="1" applyAlignment="1">
      <alignment horizontal="center"/>
    </xf>
    <xf numFmtId="3" fontId="13" fillId="7" borderId="8" xfId="21" applyNumberFormat="1" applyFont="1" applyFill="1" applyBorder="1"/>
    <xf numFmtId="3" fontId="43" fillId="17" borderId="19" xfId="0" applyNumberFormat="1" applyFont="1" applyFill="1" applyBorder="1" applyAlignment="1">
      <alignment horizontal="right"/>
    </xf>
    <xf numFmtId="3" fontId="40" fillId="16" borderId="20" xfId="21" applyNumberFormat="1" applyFont="1" applyFill="1" applyBorder="1"/>
    <xf numFmtId="0" fontId="13" fillId="7" borderId="32" xfId="21" applyFont="1" applyFill="1" applyBorder="1"/>
    <xf numFmtId="0" fontId="66" fillId="12" borderId="4" xfId="21" applyFont="1" applyFill="1" applyBorder="1"/>
    <xf numFmtId="0" fontId="0" fillId="12" borderId="0" xfId="21" applyFont="1" applyFill="1"/>
    <xf numFmtId="3" fontId="13" fillId="13" borderId="8" xfId="21" applyNumberFormat="1" applyFont="1" applyFill="1" applyBorder="1"/>
    <xf numFmtId="3" fontId="32" fillId="7" borderId="19" xfId="21" applyNumberFormat="1" applyFont="1" applyFill="1" applyBorder="1" applyAlignment="1">
      <alignment horizontal="center"/>
    </xf>
    <xf numFmtId="0" fontId="13" fillId="7" borderId="19" xfId="21" applyFont="1" applyFill="1" applyBorder="1" applyAlignment="1">
      <alignment horizontal="center"/>
    </xf>
    <xf numFmtId="0" fontId="30" fillId="34" borderId="4" xfId="21" applyFont="1" applyFill="1" applyBorder="1" applyAlignment="1">
      <alignment horizontal="center"/>
    </xf>
    <xf numFmtId="0" fontId="30" fillId="34" borderId="49" xfId="21" applyFont="1" applyFill="1" applyBorder="1" applyAlignment="1">
      <alignment horizontal="center" vertical="center"/>
    </xf>
    <xf numFmtId="2" fontId="13" fillId="7" borderId="19" xfId="21" applyNumberFormat="1" applyFont="1" applyFill="1" applyBorder="1" applyAlignment="1">
      <alignment horizontal="center"/>
    </xf>
    <xf numFmtId="0" fontId="0" fillId="8" borderId="31" xfId="21" applyFont="1" applyFill="1" applyBorder="1" applyAlignment="1">
      <alignment horizontal="center"/>
    </xf>
    <xf numFmtId="0" fontId="47" fillId="7" borderId="0" xfId="21" applyFont="1" applyFill="1"/>
    <xf numFmtId="3" fontId="40" fillId="16" borderId="96" xfId="21" applyNumberFormat="1" applyFont="1" applyFill="1" applyBorder="1"/>
    <xf numFmtId="0" fontId="42" fillId="7" borderId="0" xfId="21" applyFont="1" applyFill="1" applyAlignment="1">
      <alignment horizontal="right"/>
    </xf>
    <xf numFmtId="3" fontId="40" fillId="7" borderId="82" xfId="21" applyNumberFormat="1" applyFont="1" applyFill="1" applyBorder="1"/>
    <xf numFmtId="0" fontId="38" fillId="7" borderId="1" xfId="21" applyFont="1" applyFill="1" applyBorder="1"/>
    <xf numFmtId="0" fontId="0" fillId="7" borderId="2" xfId="21" applyFont="1" applyFill="1" applyBorder="1"/>
    <xf numFmtId="3" fontId="69" fillId="18" borderId="14" xfId="21" applyNumberFormat="1" applyFont="1" applyFill="1" applyBorder="1"/>
    <xf numFmtId="0" fontId="69" fillId="18" borderId="14" xfId="21" applyFont="1" applyFill="1" applyBorder="1"/>
    <xf numFmtId="0" fontId="14" fillId="10" borderId="0" xfId="21" applyFont="1" applyFill="1"/>
    <xf numFmtId="3" fontId="27" fillId="10" borderId="0" xfId="21" applyNumberFormat="1" applyFont="1" applyFill="1"/>
    <xf numFmtId="3" fontId="0" fillId="10" borderId="0" xfId="21" applyNumberFormat="1" applyFont="1" applyFill="1"/>
    <xf numFmtId="0" fontId="0" fillId="10" borderId="0" xfId="21" applyFont="1" applyFill="1"/>
    <xf numFmtId="3" fontId="41" fillId="10" borderId="0" xfId="21" applyNumberFormat="1" applyFont="1" applyFill="1"/>
    <xf numFmtId="3" fontId="13" fillId="11" borderId="36" xfId="0" applyNumberFormat="1" applyFont="1" applyFill="1" applyBorder="1"/>
    <xf numFmtId="3" fontId="13" fillId="11" borderId="106" xfId="0" applyNumberFormat="1" applyFont="1" applyFill="1" applyBorder="1"/>
    <xf numFmtId="0" fontId="0" fillId="3" borderId="108" xfId="0" applyFill="1" applyBorder="1" applyAlignment="1">
      <alignment horizontal="center"/>
    </xf>
    <xf numFmtId="0" fontId="61" fillId="5" borderId="100" xfId="0" applyFont="1" applyFill="1" applyBorder="1"/>
    <xf numFmtId="0" fontId="61" fillId="5" borderId="101" xfId="0" applyFont="1" applyFill="1" applyBorder="1"/>
    <xf numFmtId="0" fontId="73" fillId="18" borderId="103" xfId="0" applyFont="1" applyFill="1" applyBorder="1"/>
    <xf numFmtId="3" fontId="71" fillId="10" borderId="103" xfId="0" applyNumberFormat="1" applyFont="1" applyFill="1" applyBorder="1"/>
    <xf numFmtId="0" fontId="38" fillId="3" borderId="28" xfId="0" applyFont="1" applyFill="1" applyBorder="1"/>
    <xf numFmtId="0" fontId="38" fillId="3" borderId="19" xfId="0" applyFont="1" applyFill="1" applyBorder="1"/>
    <xf numFmtId="0" fontId="0" fillId="0" borderId="19" xfId="0" applyBorder="1"/>
    <xf numFmtId="0" fontId="71" fillId="10" borderId="213" xfId="0" applyFont="1" applyFill="1" applyBorder="1" applyAlignment="1">
      <alignment horizontal="left"/>
    </xf>
    <xf numFmtId="0" fontId="69" fillId="10" borderId="182" xfId="0" applyFont="1" applyFill="1" applyBorder="1"/>
    <xf numFmtId="3" fontId="69" fillId="10" borderId="182" xfId="1" applyNumberFormat="1" applyFont="1" applyFill="1" applyBorder="1" applyAlignment="1" applyProtection="1"/>
    <xf numFmtId="175" fontId="69" fillId="10" borderId="182" xfId="0" applyNumberFormat="1" applyFont="1" applyFill="1" applyBorder="1"/>
    <xf numFmtId="0" fontId="69" fillId="10" borderId="182" xfId="0" applyFont="1" applyFill="1" applyBorder="1" applyAlignment="1">
      <alignment horizontal="center"/>
    </xf>
    <xf numFmtId="3" fontId="69" fillId="10" borderId="187" xfId="1" applyNumberFormat="1" applyFont="1" applyFill="1" applyBorder="1" applyAlignment="1" applyProtection="1"/>
    <xf numFmtId="0" fontId="69" fillId="10" borderId="285" xfId="0" applyFont="1" applyFill="1" applyBorder="1" applyAlignment="1">
      <alignment horizontal="left"/>
    </xf>
    <xf numFmtId="0" fontId="69" fillId="10" borderId="286" xfId="0" applyFont="1" applyFill="1" applyBorder="1"/>
    <xf numFmtId="3" fontId="69" fillId="10" borderId="286" xfId="1" applyNumberFormat="1" applyFont="1" applyFill="1" applyBorder="1" applyAlignment="1" applyProtection="1"/>
    <xf numFmtId="175" fontId="69" fillId="24" borderId="286" xfId="0" applyNumberFormat="1" applyFont="1" applyFill="1" applyBorder="1"/>
    <xf numFmtId="0" fontId="69" fillId="24" borderId="286" xfId="0" applyFont="1" applyFill="1" applyBorder="1"/>
    <xf numFmtId="0" fontId="69" fillId="24" borderId="286" xfId="0" applyFont="1" applyFill="1" applyBorder="1" applyAlignment="1">
      <alignment horizontal="center"/>
    </xf>
    <xf numFmtId="3" fontId="69" fillId="18" borderId="182" xfId="1" applyNumberFormat="1" applyFont="1" applyFill="1" applyBorder="1" applyAlignment="1" applyProtection="1"/>
    <xf numFmtId="175" fontId="69" fillId="18" borderId="182" xfId="0" applyNumberFormat="1" applyFont="1" applyFill="1" applyBorder="1"/>
    <xf numFmtId="0" fontId="69" fillId="18" borderId="182" xfId="0" applyFont="1" applyFill="1" applyBorder="1"/>
    <xf numFmtId="0" fontId="69" fillId="18" borderId="182" xfId="0" applyFont="1" applyFill="1" applyBorder="1" applyAlignment="1">
      <alignment horizontal="center"/>
    </xf>
    <xf numFmtId="0" fontId="69" fillId="18" borderId="182" xfId="0" applyFont="1" applyFill="1" applyBorder="1" applyAlignment="1">
      <alignment horizontal="right"/>
    </xf>
    <xf numFmtId="0" fontId="69" fillId="24" borderId="187" xfId="0" applyFont="1" applyFill="1" applyBorder="1"/>
    <xf numFmtId="3" fontId="71" fillId="10" borderId="204" xfId="1" applyNumberFormat="1" applyFont="1" applyFill="1" applyBorder="1" applyAlignment="1" applyProtection="1"/>
    <xf numFmtId="3" fontId="69" fillId="18" borderId="287" xfId="1" applyNumberFormat="1" applyFont="1" applyFill="1" applyBorder="1" applyAlignment="1" applyProtection="1"/>
    <xf numFmtId="175" fontId="69" fillId="18" borderId="288" xfId="0" applyNumberFormat="1" applyFont="1" applyFill="1" applyBorder="1"/>
    <xf numFmtId="0" fontId="69" fillId="18" borderId="288" xfId="0" applyFont="1" applyFill="1" applyBorder="1"/>
    <xf numFmtId="0" fontId="69" fillId="18" borderId="289" xfId="0" applyFont="1" applyFill="1" applyBorder="1" applyAlignment="1">
      <alignment horizontal="center"/>
    </xf>
    <xf numFmtId="175" fontId="69" fillId="18" borderId="287" xfId="0" applyNumberFormat="1" applyFont="1" applyFill="1" applyBorder="1" applyAlignment="1">
      <alignment horizontal="right"/>
    </xf>
    <xf numFmtId="3" fontId="71" fillId="10" borderId="290" xfId="1" applyNumberFormat="1" applyFont="1" applyFill="1" applyBorder="1" applyAlignment="1" applyProtection="1"/>
    <xf numFmtId="3" fontId="69" fillId="24" borderId="291" xfId="1" applyNumberFormat="1" applyFont="1" applyFill="1" applyBorder="1" applyAlignment="1" applyProtection="1"/>
    <xf numFmtId="172" fontId="34" fillId="33" borderId="162" xfId="75" applyNumberFormat="1" applyFont="1" applyFill="1" applyBorder="1" applyAlignment="1" applyProtection="1">
      <alignment horizontal="right"/>
      <protection locked="0"/>
    </xf>
    <xf numFmtId="2" fontId="71" fillId="10" borderId="0" xfId="0" applyNumberFormat="1" applyFont="1" applyFill="1"/>
    <xf numFmtId="3" fontId="90" fillId="10" borderId="261" xfId="45" applyNumberFormat="1" applyFont="1" applyFill="1" applyBorder="1"/>
    <xf numFmtId="174" fontId="34" fillId="33" borderId="24" xfId="0" applyNumberFormat="1" applyFont="1" applyFill="1" applyBorder="1" applyAlignment="1" applyProtection="1">
      <alignment horizontal="center"/>
      <protection locked="0"/>
    </xf>
    <xf numFmtId="9" fontId="34" fillId="33" borderId="24" xfId="23" applyFont="1" applyFill="1" applyBorder="1" applyAlignment="1" applyProtection="1">
      <alignment horizontal="center"/>
      <protection locked="0"/>
    </xf>
    <xf numFmtId="0" fontId="57" fillId="33" borderId="24" xfId="0" applyFont="1" applyFill="1" applyBorder="1" applyAlignment="1" applyProtection="1">
      <alignment horizontal="center"/>
      <protection locked="0"/>
    </xf>
    <xf numFmtId="0" fontId="0" fillId="33" borderId="0" xfId="0" applyFill="1" applyProtection="1">
      <protection locked="0"/>
    </xf>
    <xf numFmtId="181" fontId="93" fillId="0" borderId="0" xfId="174" applyNumberFormat="1" applyFont="1" applyFill="1" applyProtection="1"/>
    <xf numFmtId="1" fontId="93" fillId="0" borderId="0" xfId="26" applyNumberFormat="1" applyFont="1" applyFill="1" applyProtection="1"/>
    <xf numFmtId="0" fontId="0" fillId="0" borderId="116" xfId="0" applyBorder="1"/>
    <xf numFmtId="0" fontId="0" fillId="0" borderId="116" xfId="0" applyBorder="1" applyAlignment="1">
      <alignment vertical="top" wrapText="1"/>
    </xf>
    <xf numFmtId="4" fontId="34" fillId="7" borderId="162" xfId="0" applyNumberFormat="1" applyFont="1" applyFill="1" applyBorder="1" applyAlignment="1">
      <alignment horizontal="right"/>
    </xf>
    <xf numFmtId="0" fontId="104" fillId="33" borderId="24" xfId="10" applyNumberFormat="1" applyFont="1" applyFill="1" applyBorder="1" applyAlignment="1" applyProtection="1">
      <alignment horizontal="right"/>
      <protection locked="0"/>
    </xf>
    <xf numFmtId="0" fontId="22" fillId="27" borderId="213" xfId="21" applyFont="1" applyFill="1" applyBorder="1"/>
    <xf numFmtId="0" fontId="108" fillId="7" borderId="33" xfId="21" applyFont="1" applyFill="1" applyBorder="1" applyAlignment="1">
      <alignment horizontal="center"/>
    </xf>
    <xf numFmtId="0" fontId="0" fillId="7" borderId="213" xfId="21" applyFont="1" applyFill="1" applyBorder="1"/>
    <xf numFmtId="3" fontId="2" fillId="7" borderId="0" xfId="15" applyFont="1" applyFill="1" applyBorder="1" applyAlignment="1" applyProtection="1">
      <alignment horizontal="left" wrapText="1"/>
    </xf>
    <xf numFmtId="3" fontId="16" fillId="7" borderId="0" xfId="15" applyFont="1" applyFill="1" applyBorder="1" applyAlignment="1" applyProtection="1"/>
    <xf numFmtId="0" fontId="104" fillId="38" borderId="24" xfId="17" applyNumberFormat="1" applyFont="1" applyFill="1" applyBorder="1" applyAlignment="1" applyProtection="1">
      <alignment horizontal="right"/>
      <protection locked="0"/>
    </xf>
    <xf numFmtId="0" fontId="110" fillId="0" borderId="0" xfId="0" applyFont="1"/>
    <xf numFmtId="0" fontId="99" fillId="33" borderId="135" xfId="0" applyFont="1" applyFill="1" applyBorder="1" applyAlignment="1" applyProtection="1">
      <alignment horizontal="center"/>
      <protection locked="0"/>
    </xf>
    <xf numFmtId="0" fontId="111" fillId="0" borderId="0" xfId="0" applyFont="1" applyAlignment="1">
      <alignment vertical="center"/>
    </xf>
    <xf numFmtId="0" fontId="52" fillId="8" borderId="295" xfId="0" applyFont="1" applyFill="1" applyBorder="1" applyAlignment="1">
      <alignment horizontal="center"/>
    </xf>
    <xf numFmtId="0" fontId="0" fillId="8" borderId="50" xfId="0" applyFill="1" applyBorder="1" applyAlignment="1">
      <alignment horizontal="center" vertical="top" wrapText="1"/>
    </xf>
    <xf numFmtId="0" fontId="18" fillId="8" borderId="232" xfId="0" applyFont="1" applyFill="1" applyBorder="1" applyAlignment="1">
      <alignment horizontal="center" vertical="top" wrapText="1"/>
    </xf>
    <xf numFmtId="3" fontId="13" fillId="7" borderId="33" xfId="21" applyNumberFormat="1" applyFont="1" applyFill="1" applyBorder="1"/>
    <xf numFmtId="3" fontId="24" fillId="7" borderId="299" xfId="21" applyNumberFormat="1" applyFont="1" applyFill="1" applyBorder="1"/>
    <xf numFmtId="3" fontId="16" fillId="7" borderId="38" xfId="15" applyFont="1" applyFill="1" applyBorder="1" applyAlignment="1" applyProtection="1"/>
    <xf numFmtId="3" fontId="16" fillId="7" borderId="38" xfId="21" applyNumberFormat="1" applyFont="1" applyFill="1" applyBorder="1"/>
    <xf numFmtId="3" fontId="0" fillId="7" borderId="236" xfId="21" applyNumberFormat="1" applyFont="1" applyFill="1" applyBorder="1"/>
    <xf numFmtId="3" fontId="6" fillId="7" borderId="236" xfId="7" applyNumberFormat="1" applyFill="1" applyBorder="1" applyAlignment="1" applyProtection="1"/>
    <xf numFmtId="3" fontId="13" fillId="7" borderId="38" xfId="21" applyNumberFormat="1" applyFont="1" applyFill="1" applyBorder="1"/>
    <xf numFmtId="3" fontId="21" fillId="7" borderId="87" xfId="15" applyFont="1" applyFill="1" applyBorder="1" applyAlignment="1" applyProtection="1"/>
    <xf numFmtId="3" fontId="14" fillId="7" borderId="266" xfId="15" applyFont="1" applyFill="1" applyBorder="1" applyAlignment="1" applyProtection="1">
      <alignment horizontal="right"/>
    </xf>
    <xf numFmtId="3" fontId="14" fillId="7" borderId="266" xfId="21" applyNumberFormat="1" applyFont="1" applyFill="1" applyBorder="1"/>
    <xf numFmtId="3" fontId="14" fillId="7" borderId="95" xfId="21" applyNumberFormat="1" applyFont="1" applyFill="1" applyBorder="1"/>
    <xf numFmtId="3" fontId="24" fillId="7" borderId="301" xfId="21" applyNumberFormat="1" applyFont="1" applyFill="1" applyBorder="1"/>
    <xf numFmtId="3" fontId="13" fillId="33" borderId="85" xfId="21" applyNumberFormat="1" applyFont="1" applyFill="1" applyBorder="1" applyProtection="1">
      <protection locked="0"/>
    </xf>
    <xf numFmtId="1" fontId="112" fillId="3" borderId="185" xfId="15" applyNumberFormat="1" applyFont="1" applyFill="1" applyBorder="1" applyAlignment="1" applyProtection="1">
      <alignment horizontal="center" vertical="top" wrapText="1"/>
    </xf>
    <xf numFmtId="3" fontId="3" fillId="33" borderId="163" xfId="0" applyNumberFormat="1" applyFont="1" applyFill="1" applyBorder="1" applyAlignment="1" applyProtection="1">
      <alignment horizontal="center"/>
      <protection locked="0"/>
    </xf>
    <xf numFmtId="0" fontId="0" fillId="16" borderId="302" xfId="0" applyFill="1" applyBorder="1" applyAlignment="1">
      <alignment vertical="top" wrapText="1"/>
    </xf>
    <xf numFmtId="0" fontId="0" fillId="16" borderId="303" xfId="0" applyFill="1" applyBorder="1" applyAlignment="1">
      <alignment vertical="top" wrapText="1"/>
    </xf>
    <xf numFmtId="0" fontId="0" fillId="16" borderId="304" xfId="0" applyFill="1" applyBorder="1" applyAlignment="1">
      <alignment vertical="top" wrapText="1"/>
    </xf>
    <xf numFmtId="0" fontId="0" fillId="18" borderId="203" xfId="0" applyFill="1" applyBorder="1" applyAlignment="1">
      <alignment vertical="top" wrapText="1"/>
    </xf>
    <xf numFmtId="0" fontId="91" fillId="11" borderId="302" xfId="0" applyFont="1" applyFill="1" applyBorder="1" applyAlignment="1">
      <alignment wrapText="1"/>
    </xf>
    <xf numFmtId="0" fontId="2" fillId="22" borderId="294" xfId="0" applyFont="1" applyFill="1" applyBorder="1" applyAlignment="1">
      <alignment horizontal="left" wrapText="1"/>
    </xf>
    <xf numFmtId="0" fontId="15" fillId="0" borderId="306" xfId="0" applyFont="1" applyBorder="1" applyAlignment="1" applyProtection="1">
      <alignment horizontal="right" vertical="top" wrapText="1" readingOrder="1"/>
      <protection locked="0"/>
    </xf>
    <xf numFmtId="0" fontId="0" fillId="39" borderId="0" xfId="0" applyFill="1"/>
    <xf numFmtId="4" fontId="3" fillId="7" borderId="222" xfId="17" applyFont="1" applyFill="1" applyBorder="1" applyAlignment="1" applyProtection="1"/>
    <xf numFmtId="0" fontId="5" fillId="33" borderId="201" xfId="0" applyFont="1" applyFill="1" applyBorder="1" applyAlignment="1" applyProtection="1">
      <alignment horizontal="center"/>
      <protection locked="0"/>
    </xf>
    <xf numFmtId="0" fontId="2" fillId="0" borderId="75" xfId="0" applyFont="1" applyBorder="1"/>
    <xf numFmtId="0" fontId="2" fillId="0" borderId="76" xfId="0" applyFont="1" applyBorder="1" applyAlignment="1">
      <alignment wrapText="1"/>
    </xf>
    <xf numFmtId="0" fontId="2" fillId="0" borderId="110" xfId="0" applyFont="1" applyBorder="1"/>
    <xf numFmtId="0" fontId="0" fillId="0" borderId="259" xfId="0" applyBorder="1" applyAlignment="1">
      <alignment horizontal="center"/>
    </xf>
    <xf numFmtId="0" fontId="0" fillId="0" borderId="307" xfId="0" applyBorder="1" applyAlignment="1">
      <alignment horizontal="center"/>
    </xf>
    <xf numFmtId="14" fontId="0" fillId="40" borderId="307" xfId="0" applyNumberFormat="1" applyFill="1" applyBorder="1" applyAlignment="1" applyProtection="1">
      <alignment horizontal="center"/>
      <protection locked="0"/>
    </xf>
    <xf numFmtId="0" fontId="0" fillId="40" borderId="307" xfId="0" applyFill="1" applyBorder="1" applyAlignment="1" applyProtection="1">
      <alignment horizontal="center"/>
      <protection locked="0"/>
    </xf>
    <xf numFmtId="0" fontId="115" fillId="0" borderId="307" xfId="0" applyFont="1" applyBorder="1" applyAlignment="1">
      <alignment horizontal="center"/>
    </xf>
    <xf numFmtId="0" fontId="115" fillId="0" borderId="119" xfId="0" applyFont="1" applyBorder="1" applyAlignment="1">
      <alignment horizontal="center"/>
    </xf>
    <xf numFmtId="0" fontId="0" fillId="0" borderId="260" xfId="0" applyBorder="1" applyAlignment="1">
      <alignment horizontal="center"/>
    </xf>
    <xf numFmtId="0" fontId="0" fillId="0" borderId="308" xfId="0" applyBorder="1" applyAlignment="1">
      <alignment horizontal="center"/>
    </xf>
    <xf numFmtId="14" fontId="0" fillId="40" borderId="308" xfId="0" applyNumberFormat="1" applyFill="1" applyBorder="1" applyAlignment="1" applyProtection="1">
      <alignment horizontal="center"/>
      <protection locked="0"/>
    </xf>
    <xf numFmtId="0" fontId="0" fillId="40" borderId="308" xfId="0" applyFill="1" applyBorder="1" applyAlignment="1" applyProtection="1">
      <alignment horizontal="center"/>
      <protection locked="0"/>
    </xf>
    <xf numFmtId="0" fontId="115" fillId="0" borderId="308" xfId="0" applyFont="1" applyBorder="1" applyAlignment="1">
      <alignment horizontal="center"/>
    </xf>
    <xf numFmtId="0" fontId="115" fillId="0" borderId="118" xfId="0" applyFont="1" applyBorder="1" applyAlignment="1">
      <alignment horizontal="center"/>
    </xf>
    <xf numFmtId="0" fontId="0" fillId="0" borderId="252" xfId="0" applyBorder="1" applyAlignment="1">
      <alignment horizontal="center"/>
    </xf>
    <xf numFmtId="0" fontId="0" fillId="0" borderId="309" xfId="0" applyBorder="1" applyAlignment="1">
      <alignment horizontal="center"/>
    </xf>
    <xf numFmtId="14" fontId="0" fillId="40" borderId="309" xfId="0" applyNumberFormat="1" applyFill="1" applyBorder="1" applyAlignment="1" applyProtection="1">
      <alignment horizontal="center"/>
      <protection locked="0"/>
    </xf>
    <xf numFmtId="0" fontId="0" fillId="40" borderId="309" xfId="0" applyFill="1" applyBorder="1" applyAlignment="1" applyProtection="1">
      <alignment horizontal="center"/>
      <protection locked="0"/>
    </xf>
    <xf numFmtId="0" fontId="115" fillId="0" borderId="309" xfId="0" applyFont="1" applyBorder="1" applyAlignment="1">
      <alignment horizontal="center"/>
    </xf>
    <xf numFmtId="0" fontId="115" fillId="0" borderId="123" xfId="0" applyFont="1" applyBorder="1" applyAlignment="1">
      <alignment horizontal="center"/>
    </xf>
    <xf numFmtId="1" fontId="13" fillId="7" borderId="33" xfId="21" applyNumberFormat="1" applyFont="1" applyFill="1" applyBorder="1" applyAlignment="1">
      <alignment horizontal="center"/>
    </xf>
    <xf numFmtId="0" fontId="104" fillId="7" borderId="24" xfId="10" applyNumberFormat="1" applyFont="1" applyFill="1" applyBorder="1" applyAlignment="1">
      <alignment horizontal="right"/>
    </xf>
    <xf numFmtId="0" fontId="104" fillId="33" borderId="63" xfId="0" applyFont="1" applyFill="1" applyBorder="1" applyAlignment="1" applyProtection="1">
      <alignment horizontal="right"/>
      <protection locked="0"/>
    </xf>
    <xf numFmtId="0" fontId="104" fillId="33" borderId="292" xfId="0" applyFont="1" applyFill="1" applyBorder="1" applyAlignment="1" applyProtection="1">
      <alignment horizontal="right"/>
      <protection locked="0"/>
    </xf>
    <xf numFmtId="0" fontId="104" fillId="33" borderId="274" xfId="10" applyNumberFormat="1" applyFont="1" applyFill="1" applyBorder="1" applyAlignment="1" applyProtection="1">
      <alignment horizontal="right"/>
      <protection locked="0"/>
    </xf>
    <xf numFmtId="0" fontId="104" fillId="7" borderId="157" xfId="10" applyNumberFormat="1" applyFont="1" applyFill="1" applyBorder="1" applyAlignment="1">
      <alignment horizontal="right"/>
    </xf>
    <xf numFmtId="0" fontId="104" fillId="33" borderId="274" xfId="0" applyFont="1" applyFill="1" applyBorder="1" applyAlignment="1" applyProtection="1">
      <alignment horizontal="right"/>
      <protection locked="0"/>
    </xf>
    <xf numFmtId="0" fontId="104" fillId="33" borderId="157" xfId="10" applyNumberFormat="1" applyFont="1" applyFill="1" applyBorder="1" applyAlignment="1" applyProtection="1">
      <alignment horizontal="right"/>
      <protection locked="0"/>
    </xf>
    <xf numFmtId="0" fontId="104" fillId="7" borderId="274" xfId="10" applyNumberFormat="1" applyFont="1" applyFill="1" applyBorder="1" applyAlignment="1">
      <alignment horizontal="right"/>
    </xf>
    <xf numFmtId="0" fontId="104" fillId="7" borderId="274" xfId="0" applyFont="1" applyFill="1" applyBorder="1" applyAlignment="1">
      <alignment horizontal="right"/>
    </xf>
    <xf numFmtId="0" fontId="104" fillId="7" borderId="24" xfId="0" applyFont="1" applyFill="1" applyBorder="1" applyAlignment="1">
      <alignment horizontal="right"/>
    </xf>
    <xf numFmtId="0" fontId="104" fillId="36" borderId="24" xfId="0" applyFont="1" applyFill="1" applyBorder="1" applyAlignment="1">
      <alignment horizontal="right"/>
    </xf>
    <xf numFmtId="0" fontId="104" fillId="7" borderId="157" xfId="0" applyFont="1" applyFill="1" applyBorder="1" applyAlignment="1">
      <alignment horizontal="right"/>
    </xf>
    <xf numFmtId="0" fontId="106" fillId="33" borderId="24" xfId="0" applyFont="1" applyFill="1" applyBorder="1" applyAlignment="1" applyProtection="1">
      <alignment horizontal="right"/>
      <protection locked="0"/>
    </xf>
    <xf numFmtId="0" fontId="104" fillId="36" borderId="24" xfId="10" applyNumberFormat="1" applyFont="1" applyFill="1" applyBorder="1" applyAlignment="1">
      <alignment horizontal="right"/>
    </xf>
    <xf numFmtId="0" fontId="106" fillId="33" borderId="157" xfId="0" applyFont="1" applyFill="1" applyBorder="1" applyAlignment="1" applyProtection="1">
      <alignment horizontal="right"/>
      <protection locked="0"/>
    </xf>
    <xf numFmtId="0" fontId="104" fillId="25" borderId="274" xfId="10" applyNumberFormat="1" applyFont="1" applyFill="1" applyBorder="1" applyAlignment="1">
      <alignment horizontal="right"/>
    </xf>
    <xf numFmtId="0" fontId="104" fillId="25" borderId="24" xfId="10" applyNumberFormat="1" applyFont="1" applyFill="1" applyBorder="1" applyAlignment="1">
      <alignment horizontal="right"/>
    </xf>
    <xf numFmtId="0" fontId="104" fillId="37" borderId="24" xfId="17" applyNumberFormat="1" applyFont="1" applyFill="1" applyBorder="1" applyAlignment="1" applyProtection="1">
      <alignment horizontal="right"/>
    </xf>
    <xf numFmtId="0" fontId="104" fillId="35" borderId="24" xfId="17" applyNumberFormat="1" applyFont="1" applyFill="1" applyBorder="1" applyAlignment="1" applyProtection="1">
      <alignment horizontal="right"/>
      <protection locked="0"/>
    </xf>
    <xf numFmtId="0" fontId="104" fillId="38" borderId="157" xfId="17" applyNumberFormat="1" applyFont="1" applyFill="1" applyBorder="1" applyAlignment="1" applyProtection="1">
      <alignment horizontal="right"/>
      <protection locked="0"/>
    </xf>
    <xf numFmtId="0" fontId="104" fillId="36" borderId="24" xfId="0" applyFont="1" applyFill="1" applyBorder="1" applyAlignment="1">
      <alignment horizontal="right" wrapText="1"/>
    </xf>
    <xf numFmtId="0" fontId="104" fillId="33" borderId="296" xfId="0" applyFont="1" applyFill="1" applyBorder="1" applyAlignment="1" applyProtection="1">
      <alignment horizontal="right"/>
      <protection locked="0"/>
    </xf>
    <xf numFmtId="0" fontId="104" fillId="33" borderId="159" xfId="0" applyFont="1" applyFill="1" applyBorder="1" applyAlignment="1" applyProtection="1">
      <alignment horizontal="right"/>
      <protection locked="0"/>
    </xf>
    <xf numFmtId="0" fontId="104" fillId="36" borderId="159" xfId="0" applyFont="1" applyFill="1" applyBorder="1" applyAlignment="1">
      <alignment horizontal="right"/>
    </xf>
    <xf numFmtId="0" fontId="104" fillId="33" borderId="160" xfId="0" applyFont="1" applyFill="1" applyBorder="1" applyAlignment="1" applyProtection="1">
      <alignment horizontal="right"/>
      <protection locked="0"/>
    </xf>
    <xf numFmtId="3" fontId="103" fillId="0" borderId="0" xfId="15" applyFont="1" applyFill="1" applyBorder="1" applyAlignment="1" applyProtection="1"/>
    <xf numFmtId="3" fontId="0" fillId="11" borderId="177" xfId="15" applyFont="1" applyFill="1" applyBorder="1" applyAlignment="1" applyProtection="1"/>
    <xf numFmtId="3" fontId="0" fillId="11" borderId="217" xfId="15" applyFont="1" applyFill="1" applyBorder="1" applyAlignment="1" applyProtection="1"/>
    <xf numFmtId="3" fontId="27" fillId="0" borderId="0" xfId="0" applyNumberFormat="1" applyFont="1"/>
    <xf numFmtId="3" fontId="69" fillId="0" borderId="0" xfId="0" applyNumberFormat="1" applyFont="1"/>
    <xf numFmtId="3" fontId="73" fillId="0" borderId="0" xfId="15" applyFont="1" applyFill="1" applyBorder="1" applyAlignment="1" applyProtection="1">
      <alignment horizontal="right"/>
    </xf>
    <xf numFmtId="3" fontId="69" fillId="0" borderId="0" xfId="1" applyNumberFormat="1" applyFont="1" applyFill="1" applyBorder="1" applyAlignment="1" applyProtection="1"/>
    <xf numFmtId="3" fontId="71" fillId="0" borderId="0" xfId="15" applyFont="1" applyFill="1" applyBorder="1" applyAlignment="1" applyProtection="1"/>
    <xf numFmtId="3" fontId="0" fillId="0" borderId="0" xfId="0" applyNumberFormat="1"/>
    <xf numFmtId="3" fontId="0" fillId="11" borderId="165" xfId="15" applyFont="1" applyFill="1" applyBorder="1" applyAlignment="1" applyProtection="1"/>
    <xf numFmtId="3" fontId="0" fillId="11" borderId="167" xfId="15" applyFont="1" applyFill="1" applyBorder="1" applyAlignment="1" applyProtection="1"/>
    <xf numFmtId="3" fontId="0" fillId="11" borderId="224" xfId="15" applyFont="1" applyFill="1" applyBorder="1" applyAlignment="1" applyProtection="1">
      <alignment horizontal="center"/>
    </xf>
    <xf numFmtId="3" fontId="13" fillId="11" borderId="217" xfId="15" applyFont="1" applyFill="1" applyBorder="1" applyAlignment="1" applyProtection="1"/>
    <xf numFmtId="3" fontId="24" fillId="11" borderId="217" xfId="15" applyFont="1" applyFill="1" applyBorder="1" applyAlignment="1" applyProtection="1"/>
    <xf numFmtId="3" fontId="51" fillId="11" borderId="177" xfId="15" applyFont="1" applyFill="1" applyBorder="1" applyAlignment="1" applyProtection="1"/>
    <xf numFmtId="3" fontId="13" fillId="11" borderId="198" xfId="15" applyFont="1" applyFill="1" applyBorder="1" applyAlignment="1" applyProtection="1"/>
    <xf numFmtId="0" fontId="0" fillId="11" borderId="246" xfId="0" applyFill="1" applyBorder="1"/>
    <xf numFmtId="3" fontId="69" fillId="10" borderId="222" xfId="1" applyNumberFormat="1" applyFont="1" applyFill="1" applyBorder="1" applyAlignment="1" applyProtection="1"/>
    <xf numFmtId="3" fontId="69" fillId="10" borderId="310" xfId="1" applyNumberFormat="1" applyFont="1" applyFill="1" applyBorder="1" applyAlignment="1" applyProtection="1"/>
    <xf numFmtId="3" fontId="71" fillId="10" borderId="221" xfId="15" applyFont="1" applyFill="1" applyBorder="1" applyAlignment="1" applyProtection="1"/>
    <xf numFmtId="3" fontId="0" fillId="11" borderId="248" xfId="15" applyFont="1" applyFill="1" applyBorder="1" applyAlignment="1" applyProtection="1"/>
    <xf numFmtId="3" fontId="0" fillId="3" borderId="235" xfId="15" applyFont="1" applyFill="1" applyBorder="1" applyAlignment="1" applyProtection="1">
      <alignment horizontal="center" vertical="top" wrapText="1"/>
    </xf>
    <xf numFmtId="3" fontId="0" fillId="11" borderId="177" xfId="15" applyFont="1" applyFill="1" applyBorder="1" applyAlignment="1" applyProtection="1">
      <alignment horizontal="center" vertical="top" wrapText="1"/>
    </xf>
    <xf numFmtId="3" fontId="0" fillId="11" borderId="170" xfId="15" applyFont="1" applyFill="1" applyBorder="1" applyAlignment="1" applyProtection="1">
      <alignment horizontal="center"/>
    </xf>
    <xf numFmtId="3" fontId="14" fillId="11" borderId="217" xfId="15" applyFont="1" applyFill="1" applyBorder="1" applyAlignment="1" applyProtection="1">
      <alignment horizontal="center"/>
    </xf>
    <xf numFmtId="3" fontId="14" fillId="11" borderId="177" xfId="15" applyFont="1" applyFill="1" applyBorder="1" applyAlignment="1" applyProtection="1">
      <alignment horizontal="center"/>
    </xf>
    <xf numFmtId="3" fontId="13" fillId="11" borderId="217" xfId="15" applyFont="1" applyFill="1" applyBorder="1" applyAlignment="1" applyProtection="1">
      <alignment horizontal="center" vertical="top" wrapText="1"/>
    </xf>
    <xf numFmtId="3" fontId="3" fillId="11" borderId="177" xfId="15" applyFont="1" applyFill="1" applyBorder="1" applyAlignment="1" applyProtection="1"/>
    <xf numFmtId="3" fontId="0" fillId="11" borderId="246" xfId="15" applyFont="1" applyFill="1" applyBorder="1" applyAlignment="1" applyProtection="1"/>
    <xf numFmtId="4" fontId="34" fillId="7" borderId="131" xfId="0" applyNumberFormat="1" applyFont="1" applyFill="1" applyBorder="1" applyAlignment="1">
      <alignment horizontal="right"/>
    </xf>
    <xf numFmtId="4" fontId="34" fillId="7" borderId="92" xfId="0" applyNumberFormat="1" applyFont="1" applyFill="1" applyBorder="1" applyAlignment="1">
      <alignment horizontal="right"/>
    </xf>
    <xf numFmtId="3" fontId="0" fillId="11" borderId="113" xfId="15" applyFont="1" applyFill="1" applyBorder="1" applyAlignment="1" applyProtection="1">
      <alignment horizontal="center"/>
    </xf>
    <xf numFmtId="3" fontId="34" fillId="11" borderId="197" xfId="0" applyNumberFormat="1" applyFont="1" applyFill="1" applyBorder="1"/>
    <xf numFmtId="0" fontId="75" fillId="20" borderId="217" xfId="14" applyNumberFormat="1" applyFont="1" applyFill="1" applyBorder="1" applyAlignment="1" applyProtection="1">
      <alignment horizontal="center"/>
    </xf>
    <xf numFmtId="3" fontId="3" fillId="33" borderId="6" xfId="72" applyFill="1" applyBorder="1" applyAlignment="1" applyProtection="1">
      <protection locked="0"/>
    </xf>
    <xf numFmtId="3" fontId="3" fillId="33" borderId="172" xfId="72" applyFill="1" applyBorder="1" applyAlignment="1" applyProtection="1">
      <protection locked="0"/>
    </xf>
    <xf numFmtId="0" fontId="0" fillId="7" borderId="316" xfId="0" applyFill="1" applyBorder="1"/>
    <xf numFmtId="3" fontId="71" fillId="10" borderId="204" xfId="15" applyFont="1" applyFill="1" applyBorder="1" applyAlignment="1" applyProtection="1"/>
    <xf numFmtId="0" fontId="0" fillId="6" borderId="0" xfId="0" applyFill="1"/>
    <xf numFmtId="3" fontId="4" fillId="0" borderId="256" xfId="15" applyFont="1" applyBorder="1" applyAlignment="1">
      <alignment horizontal="center"/>
    </xf>
    <xf numFmtId="3" fontId="4" fillId="0" borderId="253" xfId="15" applyFont="1" applyBorder="1" applyAlignment="1">
      <alignment horizontal="center"/>
    </xf>
    <xf numFmtId="0" fontId="102" fillId="0" borderId="256" xfId="44" applyFont="1" applyBorder="1" applyAlignment="1">
      <alignment horizontal="center"/>
    </xf>
    <xf numFmtId="3" fontId="102" fillId="0" borderId="256" xfId="15" applyFont="1" applyBorder="1" applyAlignment="1">
      <alignment horizontal="center"/>
    </xf>
    <xf numFmtId="3" fontId="102" fillId="0" borderId="115" xfId="15" applyFont="1" applyBorder="1" applyAlignment="1">
      <alignment horizontal="center"/>
    </xf>
    <xf numFmtId="4" fontId="120" fillId="0" borderId="121" xfId="15" applyNumberFormat="1" applyFont="1" applyBorder="1" applyAlignment="1">
      <alignment horizontal="center"/>
    </xf>
    <xf numFmtId="3" fontId="105" fillId="7" borderId="197" xfId="0" applyNumberFormat="1" applyFont="1" applyFill="1" applyBorder="1"/>
    <xf numFmtId="0" fontId="121" fillId="7" borderId="197" xfId="45" applyFont="1" applyFill="1" applyBorder="1"/>
    <xf numFmtId="0" fontId="98" fillId="0" borderId="0" xfId="45" applyFont="1" applyAlignment="1">
      <alignment wrapText="1"/>
    </xf>
    <xf numFmtId="0" fontId="96" fillId="7" borderId="231" xfId="45" applyFont="1" applyFill="1" applyBorder="1"/>
    <xf numFmtId="0" fontId="82" fillId="7" borderId="231" xfId="45" applyFont="1" applyFill="1" applyBorder="1"/>
    <xf numFmtId="0" fontId="117" fillId="7" borderId="113" xfId="45" applyFont="1" applyFill="1" applyBorder="1" applyAlignment="1">
      <alignment horizontal="center"/>
    </xf>
    <xf numFmtId="0" fontId="78" fillId="0" borderId="0" xfId="45" applyAlignment="1">
      <alignment horizontal="center" wrapText="1"/>
    </xf>
    <xf numFmtId="0" fontId="2" fillId="7" borderId="181" xfId="0" applyFont="1" applyFill="1" applyBorder="1"/>
    <xf numFmtId="0" fontId="90" fillId="0" borderId="0" xfId="45" applyFont="1"/>
    <xf numFmtId="0" fontId="104" fillId="33" borderId="159" xfId="0" applyFont="1" applyFill="1" applyBorder="1" applyAlignment="1" applyProtection="1">
      <alignment horizontal="right" wrapText="1"/>
      <protection locked="0"/>
    </xf>
    <xf numFmtId="4" fontId="34" fillId="7" borderId="79" xfId="74" applyFont="1" applyFill="1" applyBorder="1" applyAlignment="1" applyProtection="1">
      <alignment horizontal="right"/>
      <protection locked="0"/>
    </xf>
    <xf numFmtId="4" fontId="34" fillId="7" borderId="197" xfId="75" applyNumberFormat="1" applyFont="1" applyFill="1" applyBorder="1" applyAlignment="1" applyProtection="1">
      <alignment horizontal="right"/>
      <protection locked="0"/>
    </xf>
    <xf numFmtId="4" fontId="36" fillId="0" borderId="79" xfId="74" applyFont="1" applyFill="1" applyBorder="1" applyAlignment="1" applyProtection="1">
      <alignment horizontal="center"/>
    </xf>
    <xf numFmtId="3" fontId="16" fillId="11" borderId="177" xfId="15" applyFont="1" applyFill="1" applyBorder="1" applyAlignment="1" applyProtection="1"/>
    <xf numFmtId="0" fontId="126" fillId="0" borderId="0" xfId="0" applyFont="1"/>
    <xf numFmtId="0" fontId="75" fillId="11" borderId="217" xfId="14" applyFont="1" applyFill="1" applyBorder="1" applyAlignment="1">
      <alignment horizontal="center"/>
    </xf>
    <xf numFmtId="0" fontId="125" fillId="17" borderId="165" xfId="14" applyNumberFormat="1" applyFont="1" applyFill="1" applyBorder="1" applyAlignment="1" applyProtection="1">
      <alignment horizontal="center" wrapText="1"/>
    </xf>
    <xf numFmtId="0" fontId="125" fillId="7" borderId="231" xfId="14" applyFont="1" applyFill="1" applyBorder="1" applyAlignment="1">
      <alignment horizontal="center"/>
    </xf>
    <xf numFmtId="3" fontId="27" fillId="3" borderId="0" xfId="0" applyNumberFormat="1" applyFont="1" applyFill="1"/>
    <xf numFmtId="3" fontId="19" fillId="11" borderId="0" xfId="0" applyNumberFormat="1" applyFont="1" applyFill="1"/>
    <xf numFmtId="3" fontId="13" fillId="11" borderId="0" xfId="0" applyNumberFormat="1" applyFont="1" applyFill="1"/>
    <xf numFmtId="3" fontId="13" fillId="11" borderId="207" xfId="15" applyFont="1" applyFill="1" applyBorder="1" applyAlignment="1" applyProtection="1"/>
    <xf numFmtId="0" fontId="73" fillId="0" borderId="0" xfId="0" applyFont="1"/>
    <xf numFmtId="3" fontId="0" fillId="0" borderId="223" xfId="15" applyFont="1" applyFill="1" applyBorder="1" applyAlignment="1" applyProtection="1"/>
    <xf numFmtId="0" fontId="0" fillId="0" borderId="223" xfId="0" applyBorder="1"/>
    <xf numFmtId="3" fontId="0" fillId="11" borderId="237" xfId="15" applyFont="1" applyFill="1" applyBorder="1" applyAlignment="1" applyProtection="1"/>
    <xf numFmtId="3" fontId="27" fillId="3" borderId="247" xfId="0" applyNumberFormat="1" applyFont="1" applyFill="1" applyBorder="1"/>
    <xf numFmtId="3" fontId="19" fillId="11" borderId="238" xfId="1" applyNumberFormat="1" applyFont="1" applyFill="1" applyBorder="1" applyAlignment="1" applyProtection="1"/>
    <xf numFmtId="3" fontId="13" fillId="11" borderId="238" xfId="1" applyNumberFormat="1" applyFont="1" applyFill="1" applyBorder="1" applyAlignment="1" applyProtection="1"/>
    <xf numFmtId="3" fontId="13" fillId="11" borderId="330" xfId="1" applyNumberFormat="1" applyFont="1" applyFill="1" applyBorder="1" applyAlignment="1" applyProtection="1"/>
    <xf numFmtId="3" fontId="13" fillId="11" borderId="246" xfId="15" applyFont="1" applyFill="1" applyBorder="1" applyAlignment="1" applyProtection="1"/>
    <xf numFmtId="3" fontId="105" fillId="3" borderId="0" xfId="0" applyNumberFormat="1" applyFont="1" applyFill="1"/>
    <xf numFmtId="3" fontId="127" fillId="3" borderId="0" xfId="0" applyNumberFormat="1" applyFont="1" applyFill="1"/>
    <xf numFmtId="3" fontId="13" fillId="11" borderId="332" xfId="1" applyNumberFormat="1" applyFont="1" applyFill="1" applyBorder="1" applyAlignment="1" applyProtection="1"/>
    <xf numFmtId="3" fontId="13" fillId="11" borderId="333" xfId="1" applyNumberFormat="1" applyFont="1" applyFill="1" applyBorder="1" applyAlignment="1" applyProtection="1"/>
    <xf numFmtId="3" fontId="13" fillId="11" borderId="201" xfId="15" applyFont="1" applyFill="1" applyBorder="1" applyAlignment="1" applyProtection="1"/>
    <xf numFmtId="3" fontId="69" fillId="18" borderId="331" xfId="15" applyFont="1" applyFill="1" applyBorder="1" applyAlignment="1" applyProtection="1"/>
    <xf numFmtId="3" fontId="0" fillId="11" borderId="334" xfId="15" applyFont="1" applyFill="1" applyBorder="1" applyAlignment="1" applyProtection="1"/>
    <xf numFmtId="3" fontId="21" fillId="33" borderId="61" xfId="11" applyFont="1" applyFill="1" applyBorder="1" applyAlignment="1" applyProtection="1">
      <protection locked="0"/>
    </xf>
    <xf numFmtId="3" fontId="27" fillId="3" borderId="226" xfId="0" applyNumberFormat="1" applyFont="1" applyFill="1" applyBorder="1"/>
    <xf numFmtId="3" fontId="27" fillId="3" borderId="223" xfId="0" applyNumberFormat="1" applyFont="1" applyFill="1" applyBorder="1"/>
    <xf numFmtId="3" fontId="19" fillId="11" borderId="335" xfId="1" applyNumberFormat="1" applyFont="1" applyFill="1" applyBorder="1" applyAlignment="1" applyProtection="1"/>
    <xf numFmtId="3" fontId="13" fillId="11" borderId="336" xfId="1" applyNumberFormat="1" applyFont="1" applyFill="1" applyBorder="1" applyAlignment="1" applyProtection="1"/>
    <xf numFmtId="3" fontId="69" fillId="10" borderId="337" xfId="1" applyNumberFormat="1" applyFont="1" applyFill="1" applyBorder="1" applyAlignment="1" applyProtection="1"/>
    <xf numFmtId="3" fontId="69" fillId="10" borderId="322" xfId="1" applyNumberFormat="1" applyFont="1" applyFill="1" applyBorder="1" applyAlignment="1" applyProtection="1"/>
    <xf numFmtId="3" fontId="27" fillId="3" borderId="335" xfId="0" applyNumberFormat="1" applyFont="1" applyFill="1" applyBorder="1"/>
    <xf numFmtId="3" fontId="13" fillId="11" borderId="335" xfId="1" applyNumberFormat="1" applyFont="1" applyFill="1" applyBorder="1" applyAlignment="1" applyProtection="1"/>
    <xf numFmtId="3" fontId="119" fillId="0" borderId="0" xfId="15" applyFont="1" applyFill="1" applyBorder="1" applyAlignment="1" applyProtection="1"/>
    <xf numFmtId="3" fontId="0" fillId="11" borderId="313" xfId="15" applyFont="1" applyFill="1" applyBorder="1" applyAlignment="1" applyProtection="1"/>
    <xf numFmtId="3" fontId="27" fillId="3" borderId="165" xfId="0" applyNumberFormat="1" applyFont="1" applyFill="1" applyBorder="1"/>
    <xf numFmtId="3" fontId="27" fillId="3" borderId="231" xfId="0" applyNumberFormat="1" applyFont="1" applyFill="1" applyBorder="1"/>
    <xf numFmtId="3" fontId="19" fillId="11" borderId="107" xfId="1" applyNumberFormat="1" applyFont="1" applyFill="1" applyBorder="1" applyAlignment="1" applyProtection="1"/>
    <xf numFmtId="3" fontId="27" fillId="3" borderId="99" xfId="0" applyNumberFormat="1" applyFont="1" applyFill="1" applyBorder="1"/>
    <xf numFmtId="3" fontId="13" fillId="11" borderId="338" xfId="1" applyNumberFormat="1" applyFont="1" applyFill="1" applyBorder="1" applyAlignment="1" applyProtection="1"/>
    <xf numFmtId="3" fontId="13" fillId="11" borderId="312" xfId="1" applyNumberFormat="1" applyFont="1" applyFill="1" applyBorder="1" applyAlignment="1" applyProtection="1"/>
    <xf numFmtId="3" fontId="13" fillId="11" borderId="0" xfId="15" applyFont="1" applyFill="1" applyBorder="1" applyAlignment="1" applyProtection="1"/>
    <xf numFmtId="0" fontId="0" fillId="3" borderId="234" xfId="0" applyFill="1" applyBorder="1" applyAlignment="1">
      <alignment horizontal="center"/>
    </xf>
    <xf numFmtId="3" fontId="14" fillId="3" borderId="38" xfId="15" applyFont="1" applyFill="1" applyBorder="1" applyAlignment="1" applyProtection="1">
      <alignment horizontal="center"/>
    </xf>
    <xf numFmtId="3" fontId="14" fillId="3" borderId="42" xfId="15" applyFont="1" applyFill="1" applyBorder="1" applyAlignment="1" applyProtection="1">
      <alignment horizontal="center"/>
    </xf>
    <xf numFmtId="3" fontId="14" fillId="3" borderId="40" xfId="15" applyFont="1" applyFill="1" applyBorder="1" applyAlignment="1" applyProtection="1">
      <alignment horizontal="center"/>
    </xf>
    <xf numFmtId="3" fontId="14" fillId="3" borderId="54" xfId="15" applyFont="1" applyFill="1" applyBorder="1" applyAlignment="1" applyProtection="1">
      <alignment horizontal="center"/>
    </xf>
    <xf numFmtId="0" fontId="0" fillId="16" borderId="329" xfId="0" applyFill="1" applyBorder="1" applyAlignment="1">
      <alignment vertical="top" wrapText="1"/>
    </xf>
    <xf numFmtId="0" fontId="16" fillId="16" borderId="179" xfId="0" applyFont="1" applyFill="1" applyBorder="1" applyAlignment="1">
      <alignment horizontal="center" vertical="top" wrapText="1"/>
    </xf>
    <xf numFmtId="0" fontId="16" fillId="16" borderId="339" xfId="0" applyFont="1" applyFill="1" applyBorder="1" applyAlignment="1">
      <alignment horizontal="center" vertical="top" wrapText="1"/>
    </xf>
    <xf numFmtId="0" fontId="11" fillId="0" borderId="0" xfId="112"/>
    <xf numFmtId="3" fontId="0" fillId="33" borderId="87" xfId="11" applyFont="1" applyFill="1" applyBorder="1" applyAlignment="1" applyProtection="1">
      <protection locked="0"/>
    </xf>
    <xf numFmtId="3" fontId="0" fillId="33" borderId="87" xfId="15" applyFont="1" applyFill="1" applyBorder="1" applyAlignment="1" applyProtection="1">
      <protection locked="0"/>
    </xf>
    <xf numFmtId="3" fontId="3" fillId="33" borderId="95" xfId="15" applyFont="1" applyFill="1" applyBorder="1" applyAlignment="1" applyProtection="1">
      <protection locked="0"/>
    </xf>
    <xf numFmtId="3" fontId="3" fillId="33" borderId="128" xfId="15" applyFont="1" applyFill="1" applyBorder="1" applyAlignment="1" applyProtection="1">
      <protection locked="0"/>
    </xf>
    <xf numFmtId="3" fontId="0" fillId="33" borderId="95" xfId="11" applyFont="1" applyFill="1" applyBorder="1" applyAlignment="1" applyProtection="1">
      <protection locked="0"/>
    </xf>
    <xf numFmtId="3" fontId="0" fillId="33" borderId="128" xfId="11" applyFont="1" applyFill="1" applyBorder="1" applyAlignment="1" applyProtection="1">
      <protection locked="0"/>
    </xf>
    <xf numFmtId="0" fontId="0" fillId="3" borderId="231" xfId="0" applyFill="1" applyBorder="1"/>
    <xf numFmtId="3" fontId="3" fillId="3" borderId="197" xfId="15" applyFont="1" applyFill="1" applyBorder="1" applyAlignment="1" applyProtection="1">
      <alignment horizontal="center"/>
    </xf>
    <xf numFmtId="3" fontId="29" fillId="11" borderId="177" xfId="15" applyFont="1" applyFill="1" applyBorder="1" applyAlignment="1" applyProtection="1">
      <alignment horizontal="center"/>
    </xf>
    <xf numFmtId="49" fontId="0" fillId="11" borderId="170" xfId="15" applyNumberFormat="1" applyFont="1" applyFill="1" applyBorder="1" applyAlignment="1" applyProtection="1">
      <alignment horizontal="center"/>
    </xf>
    <xf numFmtId="3" fontId="73" fillId="26" borderId="247" xfId="15" applyFont="1" applyFill="1" applyBorder="1" applyAlignment="1" applyProtection="1">
      <alignment horizontal="left"/>
    </xf>
    <xf numFmtId="0" fontId="105" fillId="0" borderId="0" xfId="0" applyFont="1"/>
    <xf numFmtId="0" fontId="61" fillId="5" borderId="136" xfId="0" applyFont="1" applyFill="1" applyBorder="1"/>
    <xf numFmtId="0" fontId="61" fillId="5" borderId="342" xfId="0" applyFont="1" applyFill="1" applyBorder="1"/>
    <xf numFmtId="3" fontId="59" fillId="5" borderId="197" xfId="1" applyNumberFormat="1" applyFill="1" applyBorder="1" applyAlignment="1" applyProtection="1">
      <alignment horizontal="right"/>
    </xf>
    <xf numFmtId="3" fontId="3" fillId="5" borderId="197" xfId="1" applyNumberFormat="1" applyFont="1" applyFill="1" applyBorder="1" applyAlignment="1" applyProtection="1">
      <alignment horizontal="right"/>
    </xf>
    <xf numFmtId="3" fontId="0" fillId="5" borderId="197" xfId="0" applyNumberFormat="1" applyFill="1" applyBorder="1" applyAlignment="1">
      <alignment horizontal="right"/>
    </xf>
    <xf numFmtId="3" fontId="0" fillId="5" borderId="112" xfId="0" applyNumberFormat="1" applyFill="1" applyBorder="1" applyAlignment="1">
      <alignment horizontal="right"/>
    </xf>
    <xf numFmtId="3" fontId="69" fillId="0" borderId="0" xfId="15" applyFont="1" applyFill="1" applyBorder="1" applyAlignment="1" applyProtection="1"/>
    <xf numFmtId="49" fontId="0" fillId="11" borderId="224" xfId="15" applyNumberFormat="1" applyFont="1" applyFill="1" applyBorder="1" applyAlignment="1" applyProtection="1">
      <alignment horizontal="center"/>
    </xf>
    <xf numFmtId="3" fontId="34" fillId="11" borderId="73" xfId="0" applyNumberFormat="1" applyFont="1" applyFill="1" applyBorder="1" applyAlignment="1">
      <alignment horizontal="right"/>
    </xf>
    <xf numFmtId="3" fontId="34" fillId="11" borderId="197" xfId="0" applyNumberFormat="1" applyFont="1" applyFill="1" applyBorder="1" applyAlignment="1">
      <alignment horizontal="right"/>
    </xf>
    <xf numFmtId="0" fontId="0" fillId="42" borderId="302" xfId="0" applyFill="1" applyBorder="1"/>
    <xf numFmtId="0" fontId="0" fillId="42" borderId="304" xfId="0" applyFill="1" applyBorder="1"/>
    <xf numFmtId="0" fontId="0" fillId="53" borderId="302" xfId="0" applyFill="1" applyBorder="1"/>
    <xf numFmtId="0" fontId="0" fillId="53" borderId="303" xfId="0" applyFill="1" applyBorder="1"/>
    <xf numFmtId="0" fontId="0" fillId="55" borderId="303" xfId="0" applyFill="1" applyBorder="1"/>
    <xf numFmtId="0" fontId="0" fillId="55" borderId="304" xfId="0" applyFill="1" applyBorder="1" applyAlignment="1">
      <alignment wrapText="1"/>
    </xf>
    <xf numFmtId="3" fontId="129" fillId="3" borderId="0" xfId="0" applyNumberFormat="1" applyFont="1" applyFill="1"/>
    <xf numFmtId="0" fontId="0" fillId="7" borderId="344" xfId="0" applyFill="1" applyBorder="1"/>
    <xf numFmtId="0" fontId="0" fillId="53" borderId="329" xfId="0" applyFill="1" applyBorder="1"/>
    <xf numFmtId="0" fontId="0" fillId="55" borderId="343" xfId="0" applyFill="1" applyBorder="1" applyAlignment="1">
      <alignment horizontal="left" wrapText="1"/>
    </xf>
    <xf numFmtId="3" fontId="71" fillId="10" borderId="218" xfId="15" applyFont="1" applyFill="1" applyBorder="1" applyAlignment="1" applyProtection="1">
      <protection locked="0"/>
    </xf>
    <xf numFmtId="3" fontId="71" fillId="10" borderId="218" xfId="15" applyFont="1" applyFill="1" applyBorder="1" applyAlignment="1" applyProtection="1"/>
    <xf numFmtId="3" fontId="71" fillId="18" borderId="216" xfId="2" applyNumberFormat="1" applyFont="1" applyFill="1" applyBorder="1" applyAlignment="1" applyProtection="1"/>
    <xf numFmtId="0" fontId="105" fillId="6" borderId="0" xfId="0" applyFont="1" applyFill="1"/>
    <xf numFmtId="3" fontId="0" fillId="11" borderId="95" xfId="11" applyFont="1" applyFill="1" applyBorder="1" applyAlignment="1" applyProtection="1"/>
    <xf numFmtId="3" fontId="0" fillId="11" borderId="128" xfId="11" applyFont="1" applyFill="1" applyBorder="1" applyAlignment="1" applyProtection="1"/>
    <xf numFmtId="3" fontId="13" fillId="11" borderId="9" xfId="15" applyFont="1" applyFill="1" applyBorder="1" applyAlignment="1" applyProtection="1">
      <protection locked="0"/>
    </xf>
    <xf numFmtId="3" fontId="59" fillId="33" borderId="112" xfId="1" applyNumberFormat="1" applyFill="1" applyBorder="1" applyAlignment="1" applyProtection="1">
      <alignment horizontal="right"/>
      <protection locked="0"/>
    </xf>
    <xf numFmtId="3" fontId="59" fillId="33" borderId="197" xfId="1" applyNumberFormat="1" applyFill="1" applyBorder="1" applyAlignment="1" applyProtection="1">
      <alignment horizontal="right"/>
      <protection locked="0"/>
    </xf>
    <xf numFmtId="3" fontId="105" fillId="33" borderId="112" xfId="0" applyNumberFormat="1" applyFont="1" applyFill="1" applyBorder="1" applyAlignment="1" applyProtection="1">
      <alignment horizontal="right"/>
      <protection locked="0"/>
    </xf>
    <xf numFmtId="3" fontId="105" fillId="33" borderId="91" xfId="0" applyNumberFormat="1" applyFont="1" applyFill="1" applyBorder="1" applyAlignment="1" applyProtection="1">
      <alignment horizontal="right"/>
      <protection locked="0"/>
    </xf>
    <xf numFmtId="3" fontId="126" fillId="7" borderId="0" xfId="15" applyFont="1" applyFill="1" applyBorder="1" applyAlignment="1" applyProtection="1">
      <alignment horizontal="center"/>
    </xf>
    <xf numFmtId="3" fontId="126" fillId="7" borderId="0" xfId="21" applyNumberFormat="1" applyFont="1" applyFill="1" applyAlignment="1">
      <alignment horizontal="center"/>
    </xf>
    <xf numFmtId="3" fontId="126" fillId="7" borderId="0" xfId="21" applyNumberFormat="1" applyFont="1" applyFill="1"/>
    <xf numFmtId="3" fontId="126" fillId="7" borderId="0" xfId="15" applyFont="1" applyFill="1" applyBorder="1" applyAlignment="1" applyProtection="1"/>
    <xf numFmtId="2" fontId="69" fillId="0" borderId="0" xfId="0" applyNumberFormat="1" applyFont="1" applyAlignment="1">
      <alignment horizontal="center"/>
    </xf>
    <xf numFmtId="0" fontId="69" fillId="0" borderId="0" xfId="0" applyFont="1" applyAlignment="1">
      <alignment horizontal="center"/>
    </xf>
    <xf numFmtId="3" fontId="13" fillId="33" borderId="180" xfId="15" applyFont="1" applyFill="1" applyBorder="1" applyAlignment="1" applyProtection="1">
      <protection locked="0"/>
    </xf>
    <xf numFmtId="182" fontId="13" fillId="33" borderId="207" xfId="15" applyNumberFormat="1" applyFont="1" applyFill="1" applyBorder="1" applyAlignment="1" applyProtection="1">
      <protection locked="0"/>
    </xf>
    <xf numFmtId="0" fontId="0" fillId="7" borderId="236" xfId="21" applyFont="1" applyFill="1" applyBorder="1"/>
    <xf numFmtId="3" fontId="40" fillId="7" borderId="33" xfId="21" applyNumberFormat="1" applyFont="1" applyFill="1" applyBorder="1"/>
    <xf numFmtId="3" fontId="40" fillId="7" borderId="37" xfId="21" applyNumberFormat="1" applyFont="1" applyFill="1" applyBorder="1"/>
    <xf numFmtId="3" fontId="40" fillId="7" borderId="197" xfId="21" applyNumberFormat="1" applyFont="1" applyFill="1" applyBorder="1" applyAlignment="1">
      <alignment horizontal="right"/>
    </xf>
    <xf numFmtId="3" fontId="13" fillId="11" borderId="333" xfId="0" applyNumberFormat="1" applyFont="1" applyFill="1" applyBorder="1"/>
    <xf numFmtId="3" fontId="13" fillId="11" borderId="364" xfId="0" applyNumberFormat="1" applyFont="1" applyFill="1" applyBorder="1"/>
    <xf numFmtId="3" fontId="133" fillId="11" borderId="364" xfId="0" applyNumberFormat="1" applyFont="1" applyFill="1" applyBorder="1"/>
    <xf numFmtId="0" fontId="0" fillId="0" borderId="213" xfId="0" applyBorder="1"/>
    <xf numFmtId="0" fontId="2" fillId="0" borderId="0" xfId="0" applyFont="1" applyAlignment="1">
      <alignment horizontal="left"/>
    </xf>
    <xf numFmtId="0" fontId="22" fillId="0" borderId="177" xfId="0" applyFont="1" applyBorder="1"/>
    <xf numFmtId="0" fontId="0" fillId="6" borderId="116" xfId="0" applyFill="1" applyBorder="1"/>
    <xf numFmtId="0" fontId="0" fillId="6" borderId="113" xfId="0" applyFill="1" applyBorder="1" applyAlignment="1">
      <alignment horizontal="left"/>
    </xf>
    <xf numFmtId="0" fontId="0" fillId="6" borderId="114" xfId="0" applyFill="1" applyBorder="1" applyAlignment="1">
      <alignment horizontal="left"/>
    </xf>
    <xf numFmtId="0" fontId="117" fillId="0" borderId="0" xfId="45" applyFont="1"/>
    <xf numFmtId="4" fontId="80" fillId="0" borderId="135" xfId="45" applyNumberFormat="1" applyFont="1" applyBorder="1" applyAlignment="1">
      <alignment horizontal="left"/>
    </xf>
    <xf numFmtId="4" fontId="34" fillId="7" borderId="250" xfId="74" applyFont="1" applyFill="1" applyBorder="1" applyAlignment="1" applyProtection="1">
      <alignment horizontal="left"/>
    </xf>
    <xf numFmtId="0" fontId="0" fillId="7" borderId="0" xfId="0" applyFill="1" applyAlignment="1">
      <alignment horizontal="left"/>
    </xf>
    <xf numFmtId="0" fontId="0" fillId="7" borderId="250" xfId="0" applyFill="1" applyBorder="1" applyAlignment="1">
      <alignment horizontal="left"/>
    </xf>
    <xf numFmtId="0" fontId="0" fillId="7" borderId="250" xfId="0" applyFill="1" applyBorder="1" applyAlignment="1">
      <alignment horizontal="left" vertical="top"/>
    </xf>
    <xf numFmtId="0" fontId="0" fillId="6" borderId="0" xfId="0" applyFill="1" applyAlignment="1">
      <alignment horizontal="left"/>
    </xf>
    <xf numFmtId="0" fontId="4" fillId="6" borderId="0" xfId="0" applyFont="1" applyFill="1" applyAlignment="1">
      <alignment horizontal="center"/>
    </xf>
    <xf numFmtId="0" fontId="4" fillId="6" borderId="0" xfId="0" applyFont="1" applyFill="1" applyAlignment="1">
      <alignment horizontal="left" wrapText="1"/>
    </xf>
    <xf numFmtId="10" fontId="82" fillId="0" borderId="0" xfId="45" applyNumberFormat="1" applyFont="1"/>
    <xf numFmtId="3" fontId="4" fillId="33" borderId="384" xfId="15" applyFont="1" applyFill="1" applyBorder="1" applyAlignment="1" applyProtection="1">
      <alignment horizontal="center"/>
      <protection locked="0"/>
    </xf>
    <xf numFmtId="3" fontId="4" fillId="33" borderId="387" xfId="15" applyFont="1" applyFill="1" applyBorder="1" applyAlignment="1" applyProtection="1">
      <alignment horizontal="center"/>
      <protection locked="0"/>
    </xf>
    <xf numFmtId="0" fontId="3" fillId="0" borderId="116" xfId="0" applyFont="1" applyBorder="1"/>
    <xf numFmtId="3" fontId="134" fillId="33" borderId="24" xfId="0" applyNumberFormat="1" applyFont="1" applyFill="1" applyBorder="1" applyProtection="1">
      <protection locked="0"/>
    </xf>
    <xf numFmtId="3" fontId="134" fillId="33" borderId="24" xfId="1" applyNumberFormat="1" applyFont="1" applyFill="1" applyBorder="1" applyAlignment="1" applyProtection="1">
      <protection locked="0"/>
    </xf>
    <xf numFmtId="0" fontId="135" fillId="11" borderId="350" xfId="0" applyFont="1" applyFill="1" applyBorder="1"/>
    <xf numFmtId="0" fontId="135" fillId="11" borderId="351" xfId="0" applyFont="1" applyFill="1" applyBorder="1"/>
    <xf numFmtId="0" fontId="4" fillId="0" borderId="0" xfId="0" applyFont="1"/>
    <xf numFmtId="10" fontId="4" fillId="33" borderId="350" xfId="0" applyNumberFormat="1" applyFont="1" applyFill="1" applyBorder="1" applyProtection="1">
      <protection locked="0"/>
    </xf>
    <xf numFmtId="3" fontId="4" fillId="0" borderId="351" xfId="1" applyNumberFormat="1" applyFont="1" applyBorder="1" applyProtection="1"/>
    <xf numFmtId="10" fontId="4" fillId="33" borderId="352" xfId="0" applyNumberFormat="1" applyFont="1" applyFill="1" applyBorder="1" applyProtection="1">
      <protection locked="0"/>
    </xf>
    <xf numFmtId="3" fontId="4" fillId="0" borderId="353" xfId="1" applyNumberFormat="1" applyFont="1" applyBorder="1" applyProtection="1"/>
    <xf numFmtId="10" fontId="73" fillId="10" borderId="113" xfId="0" applyNumberFormat="1" applyFont="1" applyFill="1" applyBorder="1"/>
    <xf numFmtId="3" fontId="73" fillId="10" borderId="131" xfId="1" applyNumberFormat="1" applyFont="1" applyFill="1" applyBorder="1" applyAlignment="1" applyProtection="1"/>
    <xf numFmtId="1" fontId="42" fillId="3" borderId="19" xfId="15" applyNumberFormat="1" applyFont="1" applyFill="1" applyBorder="1" applyAlignment="1" applyProtection="1">
      <alignment horizontal="center"/>
    </xf>
    <xf numFmtId="10" fontId="4" fillId="7" borderId="113" xfId="0" applyNumberFormat="1" applyFont="1" applyFill="1" applyBorder="1"/>
    <xf numFmtId="3" fontId="4" fillId="7" borderId="131" xfId="1" applyNumberFormat="1" applyFont="1" applyFill="1" applyBorder="1" applyAlignment="1" applyProtection="1"/>
    <xf numFmtId="10" fontId="4" fillId="33" borderId="354" xfId="0" applyNumberFormat="1" applyFont="1" applyFill="1" applyBorder="1" applyProtection="1">
      <protection locked="0"/>
    </xf>
    <xf numFmtId="3" fontId="4" fillId="0" borderId="355" xfId="1" applyNumberFormat="1" applyFont="1" applyBorder="1" applyProtection="1"/>
    <xf numFmtId="0" fontId="38" fillId="0" borderId="0" xfId="0" applyFont="1" applyAlignment="1">
      <alignment horizontal="center"/>
    </xf>
    <xf numFmtId="10" fontId="136" fillId="7" borderId="354" xfId="0" applyNumberFormat="1" applyFont="1" applyFill="1" applyBorder="1"/>
    <xf numFmtId="3" fontId="4" fillId="7" borderId="355" xfId="1" applyNumberFormat="1" applyFont="1" applyFill="1" applyBorder="1" applyProtection="1"/>
    <xf numFmtId="3" fontId="134" fillId="33" borderId="45" xfId="0" applyNumberFormat="1" applyFont="1" applyFill="1" applyBorder="1" applyProtection="1">
      <protection locked="0"/>
    </xf>
    <xf numFmtId="3" fontId="134" fillId="33" borderId="58" xfId="1" applyNumberFormat="1" applyFont="1" applyFill="1" applyBorder="1" applyAlignment="1" applyProtection="1">
      <protection locked="0"/>
    </xf>
    <xf numFmtId="3" fontId="73" fillId="6" borderId="0" xfId="1" applyNumberFormat="1" applyFont="1" applyFill="1" applyBorder="1" applyAlignment="1" applyProtection="1"/>
    <xf numFmtId="0" fontId="137" fillId="0" borderId="0" xfId="0" applyFont="1"/>
    <xf numFmtId="3" fontId="134" fillId="33" borderId="45" xfId="1" applyNumberFormat="1" applyFont="1" applyFill="1" applyBorder="1" applyAlignment="1" applyProtection="1">
      <protection locked="0"/>
    </xf>
    <xf numFmtId="0" fontId="4" fillId="6" borderId="0" xfId="0" applyFont="1" applyFill="1"/>
    <xf numFmtId="0" fontId="73" fillId="6" borderId="0" xfId="0" applyFont="1" applyFill="1" applyAlignment="1">
      <alignment horizontal="left"/>
    </xf>
    <xf numFmtId="0" fontId="73" fillId="6" borderId="0" xfId="0" applyFont="1" applyFill="1"/>
    <xf numFmtId="3" fontId="4" fillId="33" borderId="24" xfId="0" applyNumberFormat="1" applyFont="1" applyFill="1" applyBorder="1" applyProtection="1">
      <protection locked="0"/>
    </xf>
    <xf numFmtId="0" fontId="73" fillId="10" borderId="394" xfId="0" applyFont="1" applyFill="1" applyBorder="1" applyAlignment="1">
      <alignment horizontal="left"/>
    </xf>
    <xf numFmtId="0" fontId="4" fillId="0" borderId="0" xfId="0" applyFont="1" applyAlignment="1">
      <alignment horizontal="center"/>
    </xf>
    <xf numFmtId="10" fontId="4" fillId="7" borderId="350" xfId="0" applyNumberFormat="1" applyFont="1" applyFill="1" applyBorder="1"/>
    <xf numFmtId="3" fontId="4" fillId="7" borderId="351" xfId="1" applyNumberFormat="1" applyFont="1" applyFill="1" applyBorder="1" applyAlignment="1" applyProtection="1"/>
    <xf numFmtId="0" fontId="73" fillId="6" borderId="54" xfId="0" applyFont="1" applyFill="1" applyBorder="1" applyAlignment="1">
      <alignment horizontal="left"/>
    </xf>
    <xf numFmtId="3" fontId="73" fillId="6" borderId="54" xfId="1" applyNumberFormat="1" applyFont="1" applyFill="1" applyBorder="1" applyAlignment="1" applyProtection="1"/>
    <xf numFmtId="3" fontId="73" fillId="6" borderId="40" xfId="1" applyNumberFormat="1" applyFont="1" applyFill="1" applyBorder="1" applyAlignment="1" applyProtection="1"/>
    <xf numFmtId="3" fontId="4" fillId="0" borderId="0" xfId="0" applyNumberFormat="1" applyFont="1"/>
    <xf numFmtId="0" fontId="73" fillId="0" borderId="54" xfId="0" applyFont="1" applyBorder="1" applyAlignment="1">
      <alignment horizontal="left"/>
    </xf>
    <xf numFmtId="0" fontId="73" fillId="0" borderId="0" xfId="0" applyFont="1" applyAlignment="1">
      <alignment horizontal="left"/>
    </xf>
    <xf numFmtId="3" fontId="73" fillId="0" borderId="54" xfId="1" applyNumberFormat="1" applyFont="1" applyFill="1" applyBorder="1" applyAlignment="1" applyProtection="1"/>
    <xf numFmtId="3" fontId="134" fillId="33" borderId="64" xfId="0" applyNumberFormat="1" applyFont="1" applyFill="1" applyBorder="1" applyProtection="1">
      <protection locked="0"/>
    </xf>
    <xf numFmtId="3" fontId="134" fillId="33" borderId="64" xfId="1" applyNumberFormat="1" applyFont="1" applyFill="1" applyBorder="1" applyAlignment="1" applyProtection="1">
      <protection locked="0"/>
    </xf>
    <xf numFmtId="0" fontId="4" fillId="0" borderId="225" xfId="0" applyFont="1" applyBorder="1" applyAlignment="1">
      <alignment horizontal="center"/>
    </xf>
    <xf numFmtId="3" fontId="134" fillId="33" borderId="66" xfId="1" applyNumberFormat="1" applyFont="1" applyFill="1" applyBorder="1" applyAlignment="1" applyProtection="1">
      <protection locked="0"/>
    </xf>
    <xf numFmtId="3" fontId="134" fillId="33" borderId="57" xfId="1" applyNumberFormat="1" applyFont="1" applyFill="1" applyBorder="1" applyAlignment="1" applyProtection="1">
      <protection locked="0"/>
    </xf>
    <xf numFmtId="0" fontId="4" fillId="22" borderId="217" xfId="0" applyFont="1" applyFill="1" applyBorder="1"/>
    <xf numFmtId="3" fontId="38" fillId="0" borderId="0" xfId="15" applyFont="1" applyFill="1" applyBorder="1" applyAlignment="1" applyProtection="1">
      <alignment horizontal="center"/>
    </xf>
    <xf numFmtId="3" fontId="4" fillId="3" borderId="235" xfId="15" applyFont="1" applyFill="1" applyBorder="1" applyAlignment="1" applyProtection="1">
      <alignment horizontal="center" vertical="center" wrapText="1"/>
    </xf>
    <xf numFmtId="3" fontId="4" fillId="0" borderId="0" xfId="15" applyFont="1" applyFill="1" applyBorder="1" applyAlignment="1" applyProtection="1">
      <alignment horizontal="center" vertical="top" wrapText="1"/>
    </xf>
    <xf numFmtId="3" fontId="4" fillId="11" borderId="170" xfId="15" applyFont="1" applyFill="1" applyBorder="1" applyAlignment="1" applyProtection="1">
      <alignment horizontal="center"/>
    </xf>
    <xf numFmtId="3" fontId="4" fillId="0" borderId="0" xfId="15" applyFont="1" applyFill="1" applyBorder="1" applyAlignment="1" applyProtection="1"/>
    <xf numFmtId="49" fontId="4" fillId="11" borderId="170" xfId="15" applyNumberFormat="1" applyFont="1" applyFill="1" applyBorder="1" applyAlignment="1" applyProtection="1">
      <alignment horizontal="center"/>
    </xf>
    <xf numFmtId="3" fontId="4" fillId="11" borderId="217" xfId="15" applyFont="1" applyFill="1" applyBorder="1" applyAlignment="1" applyProtection="1"/>
    <xf numFmtId="3" fontId="67" fillId="10" borderId="180" xfId="15" applyFont="1" applyFill="1" applyBorder="1" applyAlignment="1" applyProtection="1"/>
    <xf numFmtId="3" fontId="141" fillId="0" borderId="0" xfId="15" applyFont="1" applyFill="1" applyBorder="1" applyAlignment="1" applyProtection="1"/>
    <xf numFmtId="3" fontId="73" fillId="0" borderId="0" xfId="15" applyFont="1" applyFill="1" applyBorder="1" applyAlignment="1" applyProtection="1"/>
    <xf numFmtId="3" fontId="4" fillId="6" borderId="223" xfId="15" applyFont="1" applyFill="1" applyBorder="1" applyAlignment="1" applyProtection="1"/>
    <xf numFmtId="3" fontId="73" fillId="6" borderId="247" xfId="1" applyNumberFormat="1" applyFont="1" applyFill="1" applyBorder="1" applyAlignment="1" applyProtection="1"/>
    <xf numFmtId="3" fontId="67" fillId="6" borderId="247" xfId="15" applyFont="1" applyFill="1" applyBorder="1" applyAlignment="1" applyProtection="1"/>
    <xf numFmtId="3" fontId="67" fillId="6" borderId="0" xfId="15" applyFont="1" applyFill="1" applyBorder="1" applyAlignment="1" applyProtection="1"/>
    <xf numFmtId="3" fontId="45" fillId="57" borderId="0" xfId="0" applyNumberFormat="1" applyFont="1" applyFill="1"/>
    <xf numFmtId="3" fontId="142" fillId="6" borderId="0" xfId="0" applyNumberFormat="1" applyFont="1" applyFill="1"/>
    <xf numFmtId="3" fontId="137" fillId="6" borderId="0" xfId="0" applyNumberFormat="1" applyFont="1" applyFill="1"/>
    <xf numFmtId="3" fontId="4" fillId="6" borderId="231" xfId="15" applyFont="1" applyFill="1" applyBorder="1" applyAlignment="1" applyProtection="1"/>
    <xf numFmtId="3" fontId="45" fillId="57" borderId="231" xfId="0" applyNumberFormat="1" applyFont="1" applyFill="1" applyBorder="1"/>
    <xf numFmtId="3" fontId="142" fillId="6" borderId="231" xfId="0" applyNumberFormat="1" applyFont="1" applyFill="1" applyBorder="1"/>
    <xf numFmtId="3" fontId="137" fillId="6" borderId="231" xfId="0" applyNumberFormat="1" applyFont="1" applyFill="1" applyBorder="1"/>
    <xf numFmtId="3" fontId="4" fillId="6" borderId="0" xfId="15" applyFont="1" applyFill="1" applyBorder="1" applyAlignment="1" applyProtection="1"/>
    <xf numFmtId="0" fontId="4" fillId="7" borderId="393" xfId="0" applyFont="1" applyFill="1" applyBorder="1"/>
    <xf numFmtId="1" fontId="43" fillId="0" borderId="0" xfId="0" applyNumberFormat="1" applyFont="1" applyAlignment="1">
      <alignment horizontal="center"/>
    </xf>
    <xf numFmtId="3" fontId="4" fillId="0" borderId="0" xfId="0" applyNumberFormat="1" applyFont="1" applyAlignment="1">
      <alignment horizontal="center"/>
    </xf>
    <xf numFmtId="0" fontId="4" fillId="10" borderId="392" xfId="0" applyFont="1" applyFill="1" applyBorder="1"/>
    <xf numFmtId="3" fontId="67" fillId="18" borderId="247" xfId="0" applyNumberFormat="1" applyFont="1" applyFill="1" applyBorder="1" applyAlignment="1">
      <alignment horizontal="center"/>
    </xf>
    <xf numFmtId="3" fontId="73" fillId="9" borderId="0" xfId="0" applyNumberFormat="1" applyFont="1" applyFill="1"/>
    <xf numFmtId="3" fontId="104" fillId="33" borderId="197" xfId="0" applyNumberFormat="1" applyFont="1" applyFill="1" applyBorder="1" applyProtection="1">
      <protection locked="0"/>
    </xf>
    <xf numFmtId="0" fontId="4" fillId="0" borderId="56" xfId="0" applyFont="1" applyBorder="1" applyAlignment="1">
      <alignment horizontal="center"/>
    </xf>
    <xf numFmtId="3" fontId="134" fillId="33" borderId="24" xfId="10" applyFont="1" applyFill="1" applyBorder="1" applyAlignment="1" applyProtection="1">
      <protection locked="0"/>
    </xf>
    <xf numFmtId="3" fontId="134" fillId="7" borderId="24" xfId="10" applyFont="1" applyFill="1" applyBorder="1" applyAlignment="1" applyProtection="1">
      <protection locked="0"/>
    </xf>
    <xf numFmtId="0" fontId="73" fillId="10" borderId="28" xfId="0" applyFont="1" applyFill="1" applyBorder="1" applyAlignment="1">
      <alignment horizontal="left"/>
    </xf>
    <xf numFmtId="3" fontId="73" fillId="10" borderId="41" xfId="10" applyFont="1" applyFill="1" applyBorder="1" applyAlignment="1"/>
    <xf numFmtId="3" fontId="73" fillId="10" borderId="28" xfId="10" applyFont="1" applyFill="1" applyBorder="1" applyAlignment="1"/>
    <xf numFmtId="3" fontId="134" fillId="33" borderId="26" xfId="0" applyNumberFormat="1" applyFont="1" applyFill="1" applyBorder="1" applyProtection="1">
      <protection locked="0"/>
    </xf>
    <xf numFmtId="3" fontId="73" fillId="10" borderId="7" xfId="10" applyFont="1" applyFill="1" applyBorder="1" applyAlignment="1"/>
    <xf numFmtId="3" fontId="138" fillId="33" borderId="24" xfId="0" applyNumberFormat="1" applyFont="1" applyFill="1" applyBorder="1" applyProtection="1">
      <protection locked="0"/>
    </xf>
    <xf numFmtId="3" fontId="138" fillId="33" borderId="68" xfId="0" applyNumberFormat="1" applyFont="1" applyFill="1" applyBorder="1" applyProtection="1">
      <protection locked="0"/>
    </xf>
    <xf numFmtId="0" fontId="4" fillId="3" borderId="28" xfId="0" applyFont="1" applyFill="1" applyBorder="1" applyAlignment="1">
      <alignment horizontal="center"/>
    </xf>
    <xf numFmtId="3" fontId="138" fillId="33" borderId="56" xfId="1" applyNumberFormat="1" applyFont="1" applyFill="1" applyBorder="1" applyAlignment="1" applyProtection="1">
      <protection locked="0"/>
    </xf>
    <xf numFmtId="3" fontId="134" fillId="33" borderId="60" xfId="1" applyNumberFormat="1" applyFont="1" applyFill="1" applyBorder="1" applyAlignment="1" applyProtection="1">
      <protection locked="0"/>
    </xf>
    <xf numFmtId="0" fontId="134" fillId="33" borderId="45" xfId="0" applyFont="1" applyFill="1" applyBorder="1" applyProtection="1">
      <protection locked="0"/>
    </xf>
    <xf numFmtId="0" fontId="134" fillId="33" borderId="66" xfId="0" applyFont="1" applyFill="1" applyBorder="1" applyProtection="1">
      <protection locked="0"/>
    </xf>
    <xf numFmtId="0" fontId="134" fillId="33" borderId="64" xfId="0" applyFont="1" applyFill="1" applyBorder="1" applyProtection="1">
      <protection locked="0"/>
    </xf>
    <xf numFmtId="3" fontId="138" fillId="33" borderId="269" xfId="1" applyNumberFormat="1" applyFont="1" applyFill="1" applyBorder="1" applyAlignment="1" applyProtection="1">
      <protection locked="0"/>
    </xf>
    <xf numFmtId="0" fontId="134" fillId="33" borderId="68" xfId="0" applyFont="1" applyFill="1" applyBorder="1" applyProtection="1">
      <protection locked="0"/>
    </xf>
    <xf numFmtId="0" fontId="134" fillId="33" borderId="60" xfId="0" applyFont="1" applyFill="1" applyBorder="1" applyAlignment="1" applyProtection="1">
      <alignment horizontal="left"/>
      <protection locked="0"/>
    </xf>
    <xf numFmtId="0" fontId="134" fillId="33" borderId="62" xfId="0" applyFont="1" applyFill="1" applyBorder="1" applyProtection="1">
      <protection locked="0"/>
    </xf>
    <xf numFmtId="0" fontId="134" fillId="33" borderId="60" xfId="0" applyFont="1" applyFill="1" applyBorder="1" applyProtection="1">
      <protection locked="0"/>
    </xf>
    <xf numFmtId="0" fontId="134" fillId="11" borderId="66" xfId="0" applyFont="1" applyFill="1" applyBorder="1"/>
    <xf numFmtId="0" fontId="134" fillId="11" borderId="45" xfId="0" applyFont="1" applyFill="1" applyBorder="1"/>
    <xf numFmtId="0" fontId="134" fillId="11" borderId="60" xfId="0" applyFont="1" applyFill="1" applyBorder="1"/>
    <xf numFmtId="0" fontId="134" fillId="11" borderId="64" xfId="0" applyFont="1" applyFill="1" applyBorder="1"/>
    <xf numFmtId="0" fontId="4" fillId="0" borderId="403" xfId="0" applyFont="1" applyBorder="1" applyAlignment="1">
      <alignment horizontal="center"/>
    </xf>
    <xf numFmtId="3" fontId="134" fillId="33" borderId="117" xfId="0" applyNumberFormat="1" applyFont="1" applyFill="1" applyBorder="1" applyProtection="1">
      <protection locked="0"/>
    </xf>
    <xf numFmtId="3" fontId="134" fillId="33" borderId="117" xfId="1" applyNumberFormat="1" applyFont="1" applyFill="1" applyBorder="1" applyAlignment="1" applyProtection="1">
      <protection locked="0"/>
    </xf>
    <xf numFmtId="3" fontId="134" fillId="33" borderId="404" xfId="1" applyNumberFormat="1" applyFont="1" applyFill="1" applyBorder="1" applyAlignment="1" applyProtection="1">
      <protection locked="0"/>
    </xf>
    <xf numFmtId="0" fontId="4" fillId="33" borderId="60" xfId="0" applyFont="1" applyFill="1" applyBorder="1" applyProtection="1">
      <protection locked="0"/>
    </xf>
    <xf numFmtId="3" fontId="134" fillId="33" borderId="60" xfId="0" applyNumberFormat="1" applyFont="1" applyFill="1" applyBorder="1" applyProtection="1">
      <protection locked="0"/>
    </xf>
    <xf numFmtId="3" fontId="73" fillId="10" borderId="54" xfId="1" applyNumberFormat="1" applyFont="1" applyFill="1" applyBorder="1" applyAlignment="1" applyProtection="1"/>
    <xf numFmtId="3" fontId="138" fillId="33" borderId="24" xfId="1" applyNumberFormat="1" applyFont="1" applyFill="1" applyBorder="1" applyAlignment="1" applyProtection="1">
      <protection locked="0"/>
    </xf>
    <xf numFmtId="3" fontId="145" fillId="33" borderId="24" xfId="15" applyFont="1" applyFill="1" applyBorder="1" applyAlignment="1" applyProtection="1">
      <alignment horizontal="center"/>
      <protection locked="0"/>
    </xf>
    <xf numFmtId="0" fontId="134" fillId="11" borderId="68" xfId="0" applyFont="1" applyFill="1" applyBorder="1" applyAlignment="1">
      <alignment wrapText="1"/>
    </xf>
    <xf numFmtId="3" fontId="138" fillId="33" borderId="59" xfId="1" applyNumberFormat="1" applyFont="1" applyFill="1" applyBorder="1" applyAlignment="1" applyProtection="1">
      <protection locked="0"/>
    </xf>
    <xf numFmtId="3" fontId="73" fillId="10" borderId="56" xfId="1" applyNumberFormat="1" applyFont="1" applyFill="1" applyBorder="1" applyAlignment="1" applyProtection="1"/>
    <xf numFmtId="3" fontId="73" fillId="10" borderId="273" xfId="1" applyNumberFormat="1" applyFont="1" applyFill="1" applyBorder="1" applyAlignment="1" applyProtection="1"/>
    <xf numFmtId="0" fontId="134" fillId="33" borderId="345" xfId="0" applyFont="1" applyFill="1" applyBorder="1" applyProtection="1">
      <protection locked="0"/>
    </xf>
    <xf numFmtId="3" fontId="138" fillId="33" borderId="272" xfId="1" applyNumberFormat="1" applyFont="1" applyFill="1" applyBorder="1" applyAlignment="1" applyProtection="1">
      <protection locked="0"/>
    </xf>
    <xf numFmtId="0" fontId="134" fillId="33" borderId="34" xfId="0" applyFont="1" applyFill="1" applyBorder="1" applyProtection="1">
      <protection locked="0"/>
    </xf>
    <xf numFmtId="3" fontId="138" fillId="33" borderId="36" xfId="1" applyNumberFormat="1" applyFont="1" applyFill="1" applyBorder="1" applyAlignment="1" applyProtection="1">
      <protection locked="0"/>
    </xf>
    <xf numFmtId="3" fontId="138" fillId="33" borderId="121" xfId="0" applyNumberFormat="1" applyFont="1" applyFill="1" applyBorder="1" applyProtection="1">
      <protection locked="0"/>
    </xf>
    <xf numFmtId="3" fontId="134" fillId="33" borderId="121" xfId="1" applyNumberFormat="1" applyFont="1" applyFill="1" applyBorder="1" applyAlignment="1" applyProtection="1">
      <alignment shrinkToFit="1"/>
      <protection locked="0"/>
    </xf>
    <xf numFmtId="0" fontId="134" fillId="11" borderId="34" xfId="0" applyFont="1" applyFill="1" applyBorder="1"/>
    <xf numFmtId="0" fontId="30" fillId="0" borderId="247" xfId="0" applyFont="1" applyBorder="1" applyAlignment="1">
      <alignment horizontal="left"/>
    </xf>
    <xf numFmtId="0" fontId="4" fillId="0" borderId="0" xfId="0" applyFont="1" applyAlignment="1">
      <alignment horizontal="left"/>
    </xf>
    <xf numFmtId="0" fontId="30" fillId="0" borderId="0" xfId="0" applyFont="1" applyAlignment="1">
      <alignment horizontal="left"/>
    </xf>
    <xf numFmtId="0" fontId="0" fillId="0" borderId="247" xfId="0" applyBorder="1" applyAlignment="1">
      <alignment horizontal="left"/>
    </xf>
    <xf numFmtId="0" fontId="4" fillId="3" borderId="28" xfId="0" applyFont="1" applyFill="1" applyBorder="1" applyAlignment="1">
      <alignment horizontal="left"/>
    </xf>
    <xf numFmtId="0" fontId="4" fillId="0" borderId="2" xfId="0" applyFont="1" applyBorder="1"/>
    <xf numFmtId="10" fontId="4" fillId="33" borderId="113" xfId="0" applyNumberFormat="1" applyFont="1" applyFill="1" applyBorder="1" applyProtection="1">
      <protection locked="0"/>
    </xf>
    <xf numFmtId="3" fontId="4" fillId="0" borderId="131" xfId="1" applyNumberFormat="1" applyFont="1" applyBorder="1" applyProtection="1"/>
    <xf numFmtId="0" fontId="4" fillId="7" borderId="131" xfId="0" applyFont="1" applyFill="1" applyBorder="1"/>
    <xf numFmtId="10" fontId="4" fillId="33" borderId="113" xfId="0" applyNumberFormat="1" applyFont="1" applyFill="1" applyBorder="1"/>
    <xf numFmtId="3" fontId="134" fillId="7" borderId="24" xfId="1" applyNumberFormat="1" applyFont="1" applyFill="1" applyBorder="1" applyAlignment="1" applyProtection="1"/>
    <xf numFmtId="3" fontId="134" fillId="7" borderId="24" xfId="10" applyFont="1" applyFill="1" applyBorder="1" applyAlignment="1"/>
    <xf numFmtId="3" fontId="43" fillId="33" borderId="24" xfId="10" applyFont="1" applyFill="1" applyBorder="1" applyAlignment="1" applyProtection="1">
      <protection locked="0"/>
    </xf>
    <xf numFmtId="3" fontId="104" fillId="33" borderId="24" xfId="10" applyFont="1" applyFill="1" applyBorder="1" applyAlignment="1" applyProtection="1">
      <protection locked="0"/>
    </xf>
    <xf numFmtId="3" fontId="4" fillId="7" borderId="24" xfId="0" applyNumberFormat="1" applyFont="1" applyFill="1" applyBorder="1" applyAlignment="1" applyProtection="1">
      <alignment wrapText="1"/>
      <protection locked="0"/>
    </xf>
    <xf numFmtId="3" fontId="138" fillId="33" borderId="24" xfId="10" applyFont="1" applyFill="1" applyBorder="1" applyAlignment="1" applyProtection="1">
      <protection locked="0"/>
    </xf>
    <xf numFmtId="3" fontId="4" fillId="7" borderId="24" xfId="0" applyNumberFormat="1" applyFont="1" applyFill="1" applyBorder="1" applyProtection="1">
      <protection locked="0"/>
    </xf>
    <xf numFmtId="3" fontId="134" fillId="33" borderId="59" xfId="0" applyNumberFormat="1" applyFont="1" applyFill="1" applyBorder="1" applyProtection="1">
      <protection locked="0"/>
    </xf>
    <xf numFmtId="3" fontId="4" fillId="0" borderId="0" xfId="15" applyFont="1" applyFill="1" applyBorder="1" applyAlignment="1" applyProtection="1">
      <alignment horizontal="left"/>
    </xf>
    <xf numFmtId="3" fontId="38" fillId="0" borderId="0" xfId="15" applyFont="1" applyFill="1" applyBorder="1" applyAlignment="1" applyProtection="1"/>
    <xf numFmtId="3" fontId="38" fillId="0" borderId="0" xfId="15" applyFont="1" applyFill="1" applyBorder="1" applyAlignment="1" applyProtection="1">
      <alignment horizontal="left"/>
    </xf>
    <xf numFmtId="0" fontId="135" fillId="11" borderId="352" xfId="0" applyFont="1" applyFill="1" applyBorder="1" applyAlignment="1">
      <alignment horizontal="center"/>
    </xf>
    <xf numFmtId="0" fontId="135" fillId="11" borderId="353" xfId="0" applyFont="1" applyFill="1" applyBorder="1" applyAlignment="1">
      <alignment horizontal="center"/>
    </xf>
    <xf numFmtId="3" fontId="134" fillId="33" borderId="57" xfId="0" applyNumberFormat="1" applyFont="1" applyFill="1" applyBorder="1" applyProtection="1">
      <protection locked="0"/>
    </xf>
    <xf numFmtId="3" fontId="146" fillId="33" borderId="24" xfId="1" applyNumberFormat="1" applyFont="1" applyFill="1" applyBorder="1" applyAlignment="1" applyProtection="1">
      <protection locked="0"/>
    </xf>
    <xf numFmtId="3" fontId="134" fillId="33" borderId="59" xfId="1" applyNumberFormat="1" applyFont="1" applyFill="1" applyBorder="1" applyAlignment="1" applyProtection="1">
      <protection locked="0"/>
    </xf>
    <xf numFmtId="10" fontId="104" fillId="33" borderId="113" xfId="0" applyNumberFormat="1" applyFont="1" applyFill="1" applyBorder="1" applyProtection="1">
      <protection locked="0"/>
    </xf>
    <xf numFmtId="0" fontId="135" fillId="11" borderId="365" xfId="0" applyFont="1" applyFill="1" applyBorder="1" applyAlignment="1">
      <alignment horizontal="center"/>
    </xf>
    <xf numFmtId="0" fontId="135" fillId="11" borderId="366" xfId="0" applyFont="1" applyFill="1" applyBorder="1" applyAlignment="1">
      <alignment horizontal="center"/>
    </xf>
    <xf numFmtId="3" fontId="139" fillId="51" borderId="409" xfId="0" applyNumberFormat="1" applyFont="1" applyFill="1" applyBorder="1" applyProtection="1">
      <protection locked="0"/>
    </xf>
    <xf numFmtId="3" fontId="138" fillId="33" borderId="412" xfId="11" applyFont="1" applyFill="1" applyBorder="1" applyAlignment="1" applyProtection="1">
      <protection locked="0"/>
    </xf>
    <xf numFmtId="0" fontId="4" fillId="33" borderId="388" xfId="0" applyFont="1" applyFill="1" applyBorder="1" applyAlignment="1" applyProtection="1">
      <alignment horizontal="left"/>
      <protection locked="0"/>
    </xf>
    <xf numFmtId="0" fontId="4" fillId="33" borderId="389" xfId="0" applyFont="1" applyFill="1" applyBorder="1" applyAlignment="1" applyProtection="1">
      <alignment horizontal="left"/>
      <protection locked="0"/>
    </xf>
    <xf numFmtId="0" fontId="4" fillId="33" borderId="390" xfId="0" applyFont="1" applyFill="1" applyBorder="1" applyAlignment="1" applyProtection="1">
      <alignment horizontal="left"/>
      <protection locked="0"/>
    </xf>
    <xf numFmtId="0" fontId="4" fillId="33" borderId="274" xfId="0" applyFont="1" applyFill="1" applyBorder="1" applyAlignment="1" applyProtection="1">
      <alignment horizontal="left"/>
      <protection locked="0"/>
    </xf>
    <xf numFmtId="0" fontId="4" fillId="33" borderId="408" xfId="0" applyFont="1" applyFill="1" applyBorder="1" applyAlignment="1" applyProtection="1">
      <alignment horizontal="left"/>
      <protection locked="0"/>
    </xf>
    <xf numFmtId="0" fontId="4" fillId="33" borderId="24" xfId="0" applyFont="1" applyFill="1" applyBorder="1" applyAlignment="1" applyProtection="1">
      <alignment horizontal="left"/>
      <protection locked="0"/>
    </xf>
    <xf numFmtId="0" fontId="4" fillId="33" borderId="59" xfId="0" applyFont="1" applyFill="1" applyBorder="1" applyAlignment="1" applyProtection="1">
      <alignment horizontal="left"/>
      <protection locked="0"/>
    </xf>
    <xf numFmtId="0" fontId="4" fillId="33" borderId="308" xfId="0" applyFont="1" applyFill="1" applyBorder="1" applyAlignment="1" applyProtection="1">
      <alignment horizontal="left"/>
      <protection locked="0"/>
    </xf>
    <xf numFmtId="0" fontId="4" fillId="33" borderId="391" xfId="0" applyFont="1" applyFill="1" applyBorder="1" applyAlignment="1" applyProtection="1">
      <alignment horizontal="left"/>
      <protection locked="0"/>
    </xf>
    <xf numFmtId="0" fontId="4" fillId="33" borderId="115" xfId="0" applyFont="1" applyFill="1" applyBorder="1" applyAlignment="1" applyProtection="1">
      <alignment horizontal="left"/>
      <protection locked="0"/>
    </xf>
    <xf numFmtId="0" fontId="4" fillId="33" borderId="413" xfId="0" applyFont="1" applyFill="1" applyBorder="1" applyAlignment="1" applyProtection="1">
      <alignment horizontal="left"/>
      <protection locked="0"/>
    </xf>
    <xf numFmtId="0" fontId="4" fillId="33" borderId="392" xfId="0" applyFont="1" applyFill="1" applyBorder="1" applyProtection="1">
      <protection locked="0"/>
    </xf>
    <xf numFmtId="0" fontId="4" fillId="33" borderId="406" xfId="0" applyFont="1" applyFill="1" applyBorder="1" applyAlignment="1" applyProtection="1">
      <alignment horizontal="left"/>
      <protection locked="0"/>
    </xf>
    <xf numFmtId="0" fontId="4" fillId="33" borderId="407" xfId="0" applyFont="1" applyFill="1" applyBorder="1" applyAlignment="1" applyProtection="1">
      <alignment horizontal="left"/>
      <protection locked="0"/>
    </xf>
    <xf numFmtId="3" fontId="4" fillId="33" borderId="274" xfId="15" applyFont="1" applyFill="1" applyBorder="1" applyAlignment="1" applyProtection="1">
      <alignment horizontal="left"/>
      <protection locked="0"/>
    </xf>
    <xf numFmtId="3" fontId="4" fillId="33" borderId="407" xfId="15" applyFont="1" applyFill="1" applyBorder="1" applyAlignment="1" applyProtection="1">
      <alignment horizontal="left"/>
      <protection locked="0"/>
    </xf>
    <xf numFmtId="3" fontId="4" fillId="33" borderId="408" xfId="15" applyFont="1" applyFill="1" applyBorder="1" applyAlignment="1" applyProtection="1">
      <alignment horizontal="left"/>
      <protection locked="0"/>
    </xf>
    <xf numFmtId="3" fontId="4" fillId="33" borderId="383" xfId="15" applyFont="1" applyFill="1" applyBorder="1" applyAlignment="1" applyProtection="1">
      <alignment horizontal="center" vertical="center"/>
      <protection locked="0"/>
    </xf>
    <xf numFmtId="3" fontId="4" fillId="33" borderId="386" xfId="15" applyFont="1" applyFill="1" applyBorder="1" applyAlignment="1" applyProtection="1">
      <alignment horizontal="center" vertical="center"/>
      <protection locked="0"/>
    </xf>
    <xf numFmtId="3" fontId="3" fillId="3" borderId="19" xfId="15" applyFont="1" applyFill="1" applyBorder="1" applyAlignment="1" applyProtection="1">
      <alignment horizontal="center" vertical="top" wrapText="1"/>
    </xf>
    <xf numFmtId="3" fontId="3" fillId="33" borderId="417" xfId="2" applyNumberFormat="1" applyFont="1" applyFill="1" applyBorder="1" applyAlignment="1" applyProtection="1">
      <protection locked="0"/>
    </xf>
    <xf numFmtId="3" fontId="3" fillId="33" borderId="417" xfId="72" applyFill="1" applyBorder="1" applyAlignment="1" applyProtection="1">
      <protection locked="0"/>
    </xf>
    <xf numFmtId="3" fontId="3" fillId="33" borderId="415" xfId="2" applyNumberFormat="1" applyFont="1" applyFill="1" applyBorder="1" applyAlignment="1" applyProtection="1">
      <protection locked="0"/>
    </xf>
    <xf numFmtId="3" fontId="3" fillId="33" borderId="418" xfId="72" applyFill="1" applyBorder="1" applyAlignment="1" applyProtection="1">
      <protection locked="0"/>
    </xf>
    <xf numFmtId="3" fontId="59" fillId="42" borderId="415" xfId="1" applyNumberFormat="1" applyFill="1" applyBorder="1" applyProtection="1"/>
    <xf numFmtId="3" fontId="3" fillId="42" borderId="415" xfId="2" applyNumberFormat="1" applyFont="1" applyFill="1" applyBorder="1" applyAlignment="1" applyProtection="1"/>
    <xf numFmtId="3" fontId="19" fillId="52" borderId="415" xfId="2" applyNumberFormat="1" applyFont="1" applyFill="1" applyBorder="1" applyAlignment="1" applyProtection="1"/>
    <xf numFmtId="3" fontId="3" fillId="42" borderId="418" xfId="2" applyNumberFormat="1" applyFont="1" applyFill="1" applyBorder="1" applyAlignment="1" applyProtection="1"/>
    <xf numFmtId="3" fontId="19" fillId="52" borderId="418" xfId="2" applyNumberFormat="1" applyFont="1" applyFill="1" applyBorder="1" applyAlignment="1" applyProtection="1"/>
    <xf numFmtId="3" fontId="3" fillId="53" borderId="415" xfId="0" applyNumberFormat="1" applyFont="1" applyFill="1" applyBorder="1"/>
    <xf numFmtId="3" fontId="3" fillId="53" borderId="415" xfId="2" applyNumberFormat="1" applyFont="1" applyFill="1" applyBorder="1" applyAlignment="1" applyProtection="1">
      <alignment horizontal="right"/>
    </xf>
    <xf numFmtId="3" fontId="19" fillId="54" borderId="415" xfId="2" applyNumberFormat="1" applyFont="1" applyFill="1" applyBorder="1" applyAlignment="1" applyProtection="1"/>
    <xf numFmtId="3" fontId="3" fillId="53" borderId="417" xfId="2" applyNumberFormat="1" applyFont="1" applyFill="1" applyBorder="1" applyAlignment="1" applyProtection="1">
      <alignment horizontal="right"/>
    </xf>
    <xf numFmtId="3" fontId="19" fillId="54" borderId="417" xfId="2" applyNumberFormat="1" applyFont="1" applyFill="1" applyBorder="1" applyAlignment="1" applyProtection="1"/>
    <xf numFmtId="3" fontId="3" fillId="53" borderId="417" xfId="2" applyNumberFormat="1" applyFont="1" applyFill="1" applyBorder="1" applyAlignment="1" applyProtection="1"/>
    <xf numFmtId="3" fontId="3" fillId="53" borderId="417" xfId="15" applyFont="1" applyFill="1" applyBorder="1" applyAlignment="1" applyProtection="1">
      <alignment horizontal="right"/>
    </xf>
    <xf numFmtId="3" fontId="19" fillId="54" borderId="417" xfId="2" applyNumberFormat="1" applyFont="1" applyFill="1" applyBorder="1" applyAlignment="1" applyProtection="1">
      <alignment horizontal="right"/>
    </xf>
    <xf numFmtId="3" fontId="3" fillId="53" borderId="417" xfId="15" applyFont="1" applyFill="1" applyBorder="1" applyAlignment="1" applyProtection="1"/>
    <xf numFmtId="3" fontId="3" fillId="53" borderId="420" xfId="15" applyFont="1" applyFill="1" applyBorder="1" applyAlignment="1" applyProtection="1"/>
    <xf numFmtId="3" fontId="19" fillId="54" borderId="420" xfId="2" applyNumberFormat="1" applyFont="1" applyFill="1" applyBorder="1" applyAlignment="1" applyProtection="1"/>
    <xf numFmtId="3" fontId="0" fillId="55" borderId="421" xfId="0" applyNumberFormat="1" applyFill="1" applyBorder="1" applyAlignment="1">
      <alignment horizontal="right" wrapText="1"/>
    </xf>
    <xf numFmtId="1" fontId="108" fillId="55" borderId="421" xfId="0" applyNumberFormat="1" applyFont="1" applyFill="1" applyBorder="1" applyAlignment="1">
      <alignment horizontal="right" wrapText="1"/>
    </xf>
    <xf numFmtId="3" fontId="3" fillId="55" borderId="417" xfId="15" applyFont="1" applyFill="1" applyBorder="1" applyAlignment="1" applyProtection="1">
      <alignment horizontal="right"/>
    </xf>
    <xf numFmtId="3" fontId="19" fillId="56" borderId="417" xfId="2" applyNumberFormat="1" applyFont="1" applyFill="1" applyBorder="1" applyAlignment="1" applyProtection="1">
      <alignment horizontal="right"/>
    </xf>
    <xf numFmtId="3" fontId="3" fillId="55" borderId="417" xfId="15" applyFont="1" applyFill="1" applyBorder="1" applyAlignment="1" applyProtection="1"/>
    <xf numFmtId="3" fontId="3" fillId="55" borderId="418" xfId="2" applyNumberFormat="1" applyFont="1" applyFill="1" applyBorder="1" applyAlignment="1" applyProtection="1"/>
    <xf numFmtId="3" fontId="19" fillId="56" borderId="418" xfId="2" applyNumberFormat="1" applyFont="1" applyFill="1" applyBorder="1" applyAlignment="1" applyProtection="1"/>
    <xf numFmtId="3" fontId="3" fillId="7" borderId="422" xfId="2" applyNumberFormat="1" applyFont="1" applyFill="1" applyBorder="1" applyAlignment="1" applyProtection="1"/>
    <xf numFmtId="3" fontId="19" fillId="16" borderId="423" xfId="2" applyNumberFormat="1" applyFont="1" applyFill="1" applyBorder="1" applyAlignment="1" applyProtection="1"/>
    <xf numFmtId="3" fontId="19" fillId="16" borderId="424" xfId="2" applyNumberFormat="1" applyFont="1" applyFill="1" applyBorder="1" applyAlignment="1" applyProtection="1"/>
    <xf numFmtId="3" fontId="19" fillId="16" borderId="424" xfId="2" applyNumberFormat="1" applyFont="1" applyFill="1" applyBorder="1" applyAlignment="1" applyProtection="1">
      <alignment horizontal="right"/>
    </xf>
    <xf numFmtId="3" fontId="3" fillId="7" borderId="275" xfId="2" applyNumberFormat="1" applyFont="1" applyFill="1" applyBorder="1" applyAlignment="1" applyProtection="1"/>
    <xf numFmtId="3" fontId="3" fillId="7" borderId="81" xfId="15" applyFont="1" applyFill="1" applyBorder="1" applyAlignment="1" applyProtection="1"/>
    <xf numFmtId="3" fontId="3" fillId="7" borderId="417" xfId="15" applyFont="1" applyFill="1" applyBorder="1" applyAlignment="1" applyProtection="1"/>
    <xf numFmtId="3" fontId="3" fillId="7" borderId="425" xfId="2" applyNumberFormat="1" applyFont="1" applyFill="1" applyBorder="1" applyAlignment="1" applyProtection="1"/>
    <xf numFmtId="3" fontId="3" fillId="7" borderId="426" xfId="2" applyNumberFormat="1" applyFont="1" applyFill="1" applyBorder="1" applyAlignment="1" applyProtection="1"/>
    <xf numFmtId="3" fontId="3" fillId="7" borderId="417" xfId="2" applyNumberFormat="1" applyFont="1" applyFill="1" applyBorder="1" applyAlignment="1" applyProtection="1">
      <alignment horizontal="right"/>
    </xf>
    <xf numFmtId="3" fontId="3" fillId="7" borderId="81" xfId="2" applyNumberFormat="1" applyFont="1" applyFill="1" applyBorder="1" applyAlignment="1" applyProtection="1">
      <alignment horizontal="right"/>
    </xf>
    <xf numFmtId="3" fontId="112" fillId="3" borderId="427" xfId="15" applyFont="1" applyFill="1" applyBorder="1" applyAlignment="1" applyProtection="1">
      <alignment horizontal="center" wrapText="1"/>
    </xf>
    <xf numFmtId="1" fontId="112" fillId="3" borderId="331" xfId="15" applyNumberFormat="1" applyFont="1" applyFill="1" applyBorder="1" applyAlignment="1" applyProtection="1">
      <alignment horizontal="center" vertical="top" wrapText="1"/>
    </xf>
    <xf numFmtId="38" fontId="112" fillId="3" borderId="428" xfId="2" applyFont="1" applyFill="1" applyBorder="1" applyAlignment="1" applyProtection="1">
      <alignment horizontal="center" wrapText="1"/>
    </xf>
    <xf numFmtId="1" fontId="112" fillId="3" borderId="416" xfId="2" applyNumberFormat="1" applyFont="1" applyFill="1" applyBorder="1" applyAlignment="1" applyProtection="1">
      <alignment horizontal="center" vertical="center" wrapText="1"/>
    </xf>
    <xf numFmtId="10" fontId="4" fillId="33" borderId="409" xfId="0" applyNumberFormat="1" applyFont="1" applyFill="1" applyBorder="1" applyProtection="1">
      <protection locked="0"/>
    </xf>
    <xf numFmtId="3" fontId="73" fillId="10" borderId="131" xfId="0" applyNumberFormat="1" applyFont="1" applyFill="1" applyBorder="1"/>
    <xf numFmtId="0" fontId="104" fillId="0" borderId="430" xfId="0" applyFont="1" applyBorder="1" applyAlignment="1">
      <alignment horizontal="center" wrapText="1"/>
    </xf>
    <xf numFmtId="0" fontId="4" fillId="3" borderId="397" xfId="0" applyFont="1" applyFill="1" applyBorder="1" applyAlignment="1">
      <alignment horizontal="center"/>
    </xf>
    <xf numFmtId="0" fontId="4" fillId="3" borderId="397" xfId="0" applyFont="1" applyFill="1" applyBorder="1" applyAlignment="1">
      <alignment horizontal="left"/>
    </xf>
    <xf numFmtId="0" fontId="38" fillId="3" borderId="405" xfId="0" applyFont="1" applyFill="1" applyBorder="1"/>
    <xf numFmtId="1" fontId="42" fillId="3" borderId="405" xfId="15" applyNumberFormat="1" applyFont="1" applyFill="1" applyBorder="1" applyAlignment="1" applyProtection="1">
      <alignment horizontal="center"/>
    </xf>
    <xf numFmtId="1" fontId="69" fillId="10" borderId="140" xfId="0" applyNumberFormat="1" applyFont="1" applyFill="1" applyBorder="1"/>
    <xf numFmtId="0" fontId="92" fillId="0" borderId="0" xfId="21" applyFont="1"/>
    <xf numFmtId="3" fontId="69" fillId="0" borderId="137" xfId="0" applyNumberFormat="1" applyFont="1" applyBorder="1"/>
    <xf numFmtId="3" fontId="69" fillId="0" borderId="141" xfId="0" applyNumberFormat="1" applyFont="1" applyBorder="1"/>
    <xf numFmtId="0" fontId="89" fillId="0" borderId="137" xfId="45" applyFont="1" applyBorder="1"/>
    <xf numFmtId="3" fontId="89" fillId="0" borderId="0" xfId="45" applyNumberFormat="1" applyFont="1"/>
    <xf numFmtId="3" fontId="90" fillId="0" borderId="142" xfId="45" applyNumberFormat="1" applyFont="1" applyBorder="1"/>
    <xf numFmtId="3" fontId="69" fillId="0" borderId="138" xfId="0" applyNumberFormat="1" applyFont="1" applyBorder="1"/>
    <xf numFmtId="3" fontId="151" fillId="10" borderId="142" xfId="45" applyNumberFormat="1" applyFont="1" applyFill="1" applyBorder="1"/>
    <xf numFmtId="0" fontId="78" fillId="6" borderId="0" xfId="45" applyFill="1"/>
    <xf numFmtId="4" fontId="105" fillId="33" borderId="79" xfId="74" applyFont="1" applyFill="1" applyBorder="1" applyAlignment="1" applyProtection="1">
      <alignment horizontal="right"/>
      <protection locked="0"/>
    </xf>
    <xf numFmtId="4" fontId="105" fillId="33" borderId="162" xfId="0" applyNumberFormat="1" applyFont="1" applyFill="1" applyBorder="1" applyAlignment="1" applyProtection="1">
      <alignment horizontal="right"/>
      <protection locked="0"/>
    </xf>
    <xf numFmtId="4" fontId="105" fillId="33" borderId="79" xfId="0" applyNumberFormat="1" applyFont="1" applyFill="1" applyBorder="1" applyAlignment="1" applyProtection="1">
      <alignment horizontal="right"/>
      <protection locked="0"/>
    </xf>
    <xf numFmtId="0" fontId="104" fillId="33" borderId="446" xfId="10" applyNumberFormat="1" applyFont="1" applyFill="1" applyBorder="1" applyAlignment="1" applyProtection="1">
      <alignment horizontal="right"/>
      <protection locked="0"/>
    </xf>
    <xf numFmtId="0" fontId="104" fillId="33" borderId="24" xfId="0" applyFont="1" applyFill="1" applyBorder="1" applyAlignment="1" applyProtection="1">
      <alignment horizontal="right"/>
      <protection locked="0"/>
    </xf>
    <xf numFmtId="0" fontId="104" fillId="33" borderId="24" xfId="0" applyFont="1" applyFill="1" applyBorder="1" applyAlignment="1" applyProtection="1">
      <alignment horizontal="right" wrapText="1"/>
      <protection locked="0"/>
    </xf>
    <xf numFmtId="0" fontId="104" fillId="33" borderId="414" xfId="0" applyFont="1" applyFill="1" applyBorder="1" applyAlignment="1" applyProtection="1">
      <alignment horizontal="right" wrapText="1"/>
      <protection locked="0"/>
    </xf>
    <xf numFmtId="3" fontId="3" fillId="33" borderId="447" xfId="72" applyFill="1" applyBorder="1" applyAlignment="1" applyProtection="1">
      <protection locked="0"/>
    </xf>
    <xf numFmtId="3" fontId="3" fillId="33" borderId="448" xfId="72" applyFill="1" applyBorder="1" applyAlignment="1" applyProtection="1">
      <protection locked="0"/>
    </xf>
    <xf numFmtId="3" fontId="3" fillId="33" borderId="449" xfId="2" applyNumberFormat="1" applyFont="1" applyFill="1" applyBorder="1" applyAlignment="1" applyProtection="1">
      <protection locked="0"/>
    </xf>
    <xf numFmtId="3" fontId="59" fillId="33" borderId="392" xfId="1" applyNumberFormat="1" applyFill="1" applyBorder="1" applyAlignment="1" applyProtection="1">
      <alignment horizontal="right"/>
      <protection locked="0"/>
    </xf>
    <xf numFmtId="3" fontId="105" fillId="33" borderId="392" xfId="0" applyNumberFormat="1" applyFont="1" applyFill="1" applyBorder="1" applyAlignment="1" applyProtection="1">
      <alignment horizontal="right"/>
      <protection locked="0"/>
    </xf>
    <xf numFmtId="3" fontId="139" fillId="51" borderId="439" xfId="0" applyNumberFormat="1" applyFont="1" applyFill="1" applyBorder="1" applyProtection="1">
      <protection locked="0"/>
    </xf>
    <xf numFmtId="3" fontId="140" fillId="51" borderId="439" xfId="0" applyNumberFormat="1" applyFont="1" applyFill="1" applyBorder="1" applyProtection="1">
      <protection locked="0"/>
    </xf>
    <xf numFmtId="3" fontId="59" fillId="7" borderId="81" xfId="1" applyNumberFormat="1" applyFill="1" applyBorder="1" applyAlignment="1" applyProtection="1"/>
    <xf numFmtId="164" fontId="78" fillId="0" borderId="0" xfId="174" applyFont="1"/>
    <xf numFmtId="0" fontId="78" fillId="41" borderId="0" xfId="45" applyFill="1"/>
    <xf numFmtId="0" fontId="82" fillId="41" borderId="0" xfId="45" applyFont="1" applyFill="1"/>
    <xf numFmtId="4" fontId="78" fillId="0" borderId="0" xfId="45" applyNumberFormat="1"/>
    <xf numFmtId="0" fontId="78" fillId="7" borderId="450" xfId="45" applyFill="1" applyBorder="1"/>
    <xf numFmtId="0" fontId="79" fillId="7" borderId="450" xfId="45" applyFont="1" applyFill="1" applyBorder="1"/>
    <xf numFmtId="0" fontId="78" fillId="63" borderId="450" xfId="45" applyFill="1" applyBorder="1"/>
    <xf numFmtId="0" fontId="117" fillId="63" borderId="450" xfId="45" applyFont="1" applyFill="1" applyBorder="1"/>
    <xf numFmtId="0" fontId="79" fillId="7" borderId="450" xfId="45" applyFont="1" applyFill="1" applyBorder="1" applyAlignment="1">
      <alignment wrapText="1"/>
    </xf>
    <xf numFmtId="0" fontId="117" fillId="7" borderId="450" xfId="45" applyFont="1" applyFill="1" applyBorder="1"/>
    <xf numFmtId="0" fontId="78" fillId="42" borderId="450" xfId="45" applyFill="1" applyBorder="1"/>
    <xf numFmtId="0" fontId="78" fillId="7" borderId="450" xfId="45" applyFill="1" applyBorder="1" applyAlignment="1">
      <alignment wrapText="1"/>
    </xf>
    <xf numFmtId="0" fontId="78" fillId="64" borderId="450" xfId="45" applyFill="1" applyBorder="1"/>
    <xf numFmtId="0" fontId="78" fillId="7" borderId="450" xfId="45" applyFill="1" applyBorder="1" applyAlignment="1">
      <alignment horizontal="left" wrapText="1"/>
    </xf>
    <xf numFmtId="0" fontId="78" fillId="44" borderId="450" xfId="45" applyFill="1" applyBorder="1"/>
    <xf numFmtId="0" fontId="78" fillId="65" borderId="450" xfId="45" applyFill="1" applyBorder="1"/>
    <xf numFmtId="4" fontId="59" fillId="65" borderId="450" xfId="1" applyFill="1" applyBorder="1"/>
    <xf numFmtId="4" fontId="59" fillId="44" borderId="450" xfId="1" applyFill="1" applyBorder="1"/>
    <xf numFmtId="4" fontId="59" fillId="64" borderId="450" xfId="1" applyFill="1" applyBorder="1"/>
    <xf numFmtId="4" fontId="59" fillId="42" borderId="450" xfId="1" applyFill="1" applyBorder="1"/>
    <xf numFmtId="4" fontId="59" fillId="63" borderId="450" xfId="1" applyFill="1" applyBorder="1"/>
    <xf numFmtId="0" fontId="78" fillId="0" borderId="451" xfId="45" applyBorder="1"/>
    <xf numFmtId="0" fontId="78" fillId="0" borderId="453" xfId="45" applyBorder="1"/>
    <xf numFmtId="0" fontId="78" fillId="33" borderId="450" xfId="45" applyFill="1" applyBorder="1" applyProtection="1">
      <protection locked="0"/>
    </xf>
    <xf numFmtId="3" fontId="82" fillId="0" borderId="0" xfId="45" applyNumberFormat="1" applyFont="1"/>
    <xf numFmtId="0" fontId="78" fillId="0" borderId="247" xfId="45" applyBorder="1"/>
    <xf numFmtId="0" fontId="78" fillId="42" borderId="450" xfId="45" applyFill="1" applyBorder="1" applyAlignment="1">
      <alignment horizontal="left" wrapText="1"/>
    </xf>
    <xf numFmtId="0" fontId="78" fillId="65" borderId="450" xfId="45" applyFill="1" applyBorder="1" applyAlignment="1">
      <alignment wrapText="1"/>
    </xf>
    <xf numFmtId="4" fontId="59" fillId="64" borderId="450" xfId="1" applyFill="1" applyBorder="1" applyProtection="1">
      <protection locked="0"/>
    </xf>
    <xf numFmtId="4" fontId="59" fillId="42" borderId="450" xfId="1" applyFill="1" applyBorder="1" applyProtection="1">
      <protection locked="0"/>
    </xf>
    <xf numFmtId="0" fontId="78" fillId="42" borderId="450" xfId="45" applyFill="1" applyBorder="1" applyAlignment="1">
      <alignment wrapText="1"/>
    </xf>
    <xf numFmtId="0" fontId="87" fillId="55" borderId="450" xfId="45" applyFont="1" applyFill="1" applyBorder="1" applyAlignment="1">
      <alignment wrapText="1"/>
    </xf>
    <xf numFmtId="0" fontId="87" fillId="55" borderId="450" xfId="45" applyFont="1" applyFill="1" applyBorder="1"/>
    <xf numFmtId="0" fontId="78" fillId="41" borderId="450" xfId="45" applyFill="1" applyBorder="1"/>
    <xf numFmtId="4" fontId="59" fillId="41" borderId="450" xfId="1" applyFill="1" applyBorder="1" applyProtection="1">
      <protection locked="0"/>
    </xf>
    <xf numFmtId="0" fontId="78" fillId="41" borderId="450" xfId="45" applyFill="1" applyBorder="1" applyAlignment="1">
      <alignment horizontal="left" wrapText="1"/>
    </xf>
    <xf numFmtId="0" fontId="78" fillId="41" borderId="450" xfId="45" applyFill="1" applyBorder="1" applyAlignment="1">
      <alignment wrapText="1"/>
    </xf>
    <xf numFmtId="4" fontId="59" fillId="41" borderId="450" xfId="1" applyFill="1" applyBorder="1"/>
    <xf numFmtId="0" fontId="87" fillId="66" borderId="450" xfId="45" applyFont="1" applyFill="1" applyBorder="1" applyAlignment="1">
      <alignment wrapText="1"/>
    </xf>
    <xf numFmtId="0" fontId="87" fillId="66" borderId="450" xfId="45" applyFont="1" applyFill="1" applyBorder="1"/>
    <xf numFmtId="0" fontId="78" fillId="64" borderId="450" xfId="45" applyFill="1" applyBorder="1" applyAlignment="1">
      <alignment horizontal="left" wrapText="1"/>
    </xf>
    <xf numFmtId="0" fontId="78" fillId="64" borderId="450" xfId="45" applyFill="1" applyBorder="1" applyAlignment="1">
      <alignment wrapText="1"/>
    </xf>
    <xf numFmtId="0" fontId="87" fillId="67" borderId="450" xfId="45" applyFont="1" applyFill="1" applyBorder="1" applyAlignment="1">
      <alignment wrapText="1"/>
    </xf>
    <xf numFmtId="0" fontId="87" fillId="67" borderId="450" xfId="45" applyFont="1" applyFill="1" applyBorder="1"/>
    <xf numFmtId="4" fontId="59" fillId="65" borderId="450" xfId="1" applyFill="1" applyBorder="1" applyProtection="1">
      <protection locked="0"/>
    </xf>
    <xf numFmtId="0" fontId="87" fillId="68" borderId="450" xfId="45" applyFont="1" applyFill="1" applyBorder="1" applyAlignment="1">
      <alignment wrapText="1"/>
    </xf>
    <xf numFmtId="0" fontId="87" fillId="68" borderId="450" xfId="45" applyFont="1" applyFill="1" applyBorder="1" applyAlignment="1">
      <alignment horizontal="center" wrapText="1"/>
    </xf>
    <xf numFmtId="0" fontId="87" fillId="68" borderId="450" xfId="45" applyFont="1" applyFill="1" applyBorder="1"/>
    <xf numFmtId="0" fontId="78" fillId="65" borderId="450" xfId="45" applyFill="1" applyBorder="1" applyAlignment="1">
      <alignment horizontal="left" wrapText="1"/>
    </xf>
    <xf numFmtId="0" fontId="78" fillId="69" borderId="450" xfId="45" applyFill="1" applyBorder="1" applyAlignment="1">
      <alignment horizontal="left" wrapText="1"/>
    </xf>
    <xf numFmtId="4" fontId="59" fillId="69" borderId="450" xfId="1" applyFill="1" applyBorder="1" applyProtection="1">
      <protection locked="0"/>
    </xf>
    <xf numFmtId="0" fontId="78" fillId="69" borderId="450" xfId="45" applyFill="1" applyBorder="1"/>
    <xf numFmtId="0" fontId="78" fillId="69" borderId="450" xfId="45" applyFill="1" applyBorder="1" applyAlignment="1">
      <alignment wrapText="1"/>
    </xf>
    <xf numFmtId="4" fontId="59" fillId="69" borderId="450" xfId="1" applyFill="1" applyBorder="1"/>
    <xf numFmtId="0" fontId="87" fillId="70" borderId="450" xfId="45" applyFont="1" applyFill="1" applyBorder="1" applyAlignment="1">
      <alignment wrapText="1"/>
    </xf>
    <xf numFmtId="0" fontId="87" fillId="70" borderId="450" xfId="45" applyFont="1" applyFill="1" applyBorder="1" applyAlignment="1">
      <alignment horizontal="center" wrapText="1"/>
    </xf>
    <xf numFmtId="0" fontId="87" fillId="70" borderId="450" xfId="45" applyFont="1" applyFill="1" applyBorder="1"/>
    <xf numFmtId="0" fontId="78" fillId="71" borderId="450" xfId="45" applyFill="1" applyBorder="1" applyAlignment="1">
      <alignment horizontal="left" wrapText="1"/>
    </xf>
    <xf numFmtId="4" fontId="59" fillId="71" borderId="450" xfId="1" applyFill="1" applyBorder="1" applyProtection="1">
      <protection locked="0"/>
    </xf>
    <xf numFmtId="0" fontId="78" fillId="71" borderId="450" xfId="45" applyFill="1" applyBorder="1"/>
    <xf numFmtId="0" fontId="78" fillId="71" borderId="450" xfId="45" applyFill="1" applyBorder="1" applyAlignment="1">
      <alignment wrapText="1"/>
    </xf>
    <xf numFmtId="4" fontId="59" fillId="71" borderId="450" xfId="1" applyFill="1" applyBorder="1"/>
    <xf numFmtId="0" fontId="87" fillId="72" borderId="450" xfId="45" applyFont="1" applyFill="1" applyBorder="1" applyAlignment="1">
      <alignment wrapText="1"/>
    </xf>
    <xf numFmtId="0" fontId="87" fillId="72" borderId="450" xfId="45" applyFont="1" applyFill="1" applyBorder="1" applyAlignment="1">
      <alignment horizontal="center" wrapText="1"/>
    </xf>
    <xf numFmtId="0" fontId="87" fillId="72" borderId="450" xfId="45" applyFont="1" applyFill="1" applyBorder="1"/>
    <xf numFmtId="0" fontId="78" fillId="42" borderId="450" xfId="45" applyFill="1" applyBorder="1" applyProtection="1">
      <protection locked="0"/>
    </xf>
    <xf numFmtId="3" fontId="3" fillId="33" borderId="454" xfId="72" applyFill="1" applyBorder="1" applyAlignment="1" applyProtection="1">
      <protection locked="0"/>
    </xf>
    <xf numFmtId="4" fontId="87" fillId="0" borderId="0" xfId="46" applyNumberFormat="1" applyFont="1" applyFill="1" applyBorder="1" applyAlignment="1"/>
    <xf numFmtId="2" fontId="71" fillId="0" borderId="0" xfId="0" applyNumberFormat="1" applyFont="1"/>
    <xf numFmtId="3" fontId="69" fillId="0" borderId="152" xfId="0" applyNumberFormat="1" applyFont="1" applyBorder="1"/>
    <xf numFmtId="3" fontId="90" fillId="0" borderId="261" xfId="45" applyNumberFormat="1" applyFont="1" applyBorder="1"/>
    <xf numFmtId="0" fontId="150" fillId="0" borderId="149" xfId="45" applyFont="1" applyBorder="1" applyAlignment="1">
      <alignment wrapText="1"/>
    </xf>
    <xf numFmtId="3" fontId="151" fillId="0" borderId="142" xfId="45" applyNumberFormat="1" applyFont="1" applyBorder="1"/>
    <xf numFmtId="0" fontId="150" fillId="0" borderId="149" xfId="45" applyFont="1" applyBorder="1"/>
    <xf numFmtId="0" fontId="150" fillId="0" borderId="0" xfId="45" applyFont="1"/>
    <xf numFmtId="3" fontId="151" fillId="0" borderId="0" xfId="45" applyNumberFormat="1" applyFont="1"/>
    <xf numFmtId="0" fontId="38" fillId="7" borderId="231" xfId="0" applyFont="1" applyFill="1" applyBorder="1"/>
    <xf numFmtId="0" fontId="4" fillId="33" borderId="461" xfId="0" applyFont="1" applyFill="1" applyBorder="1" applyAlignment="1" applyProtection="1">
      <alignment horizontal="left"/>
      <protection locked="0"/>
    </xf>
    <xf numFmtId="0" fontId="4" fillId="33" borderId="463" xfId="0" applyFont="1" applyFill="1" applyBorder="1" applyAlignment="1" applyProtection="1">
      <alignment horizontal="left"/>
      <protection locked="0"/>
    </xf>
    <xf numFmtId="0" fontId="78" fillId="64" borderId="459" xfId="45" applyFill="1" applyBorder="1"/>
    <xf numFmtId="0" fontId="78" fillId="33" borderId="459" xfId="45" applyFill="1" applyBorder="1" applyProtection="1">
      <protection locked="0"/>
    </xf>
    <xf numFmtId="0" fontId="78" fillId="42" borderId="459" xfId="45" applyFill="1" applyBorder="1"/>
    <xf numFmtId="4" fontId="59" fillId="42" borderId="459" xfId="1" applyFill="1" applyBorder="1" applyProtection="1">
      <protection locked="0"/>
    </xf>
    <xf numFmtId="0" fontId="78" fillId="41" borderId="459" xfId="45" applyFill="1" applyBorder="1"/>
    <xf numFmtId="4" fontId="59" fillId="41" borderId="459" xfId="1" applyFill="1" applyBorder="1" applyProtection="1">
      <protection locked="0"/>
    </xf>
    <xf numFmtId="4" fontId="59" fillId="64" borderId="459" xfId="1" applyFill="1" applyBorder="1" applyProtection="1">
      <protection locked="0"/>
    </xf>
    <xf numFmtId="0" fontId="78" fillId="65" borderId="459" xfId="45" applyFill="1" applyBorder="1"/>
    <xf numFmtId="4" fontId="59" fillId="65" borderId="459" xfId="1" applyFill="1" applyBorder="1" applyProtection="1">
      <protection locked="0"/>
    </xf>
    <xf numFmtId="0" fontId="78" fillId="69" borderId="459" xfId="45" applyFill="1" applyBorder="1"/>
    <xf numFmtId="4" fontId="59" fillId="69" borderId="459" xfId="1" applyFill="1" applyBorder="1" applyProtection="1">
      <protection locked="0"/>
    </xf>
    <xf numFmtId="0" fontId="78" fillId="71" borderId="459" xfId="45" applyFill="1" applyBorder="1"/>
    <xf numFmtId="4" fontId="59" fillId="71" borderId="459" xfId="1" applyFill="1" applyBorder="1" applyProtection="1">
      <protection locked="0"/>
    </xf>
    <xf numFmtId="0" fontId="117" fillId="63" borderId="459" xfId="45" applyFont="1" applyFill="1" applyBorder="1"/>
    <xf numFmtId="4" fontId="59" fillId="63" borderId="459" xfId="1" applyFill="1" applyBorder="1"/>
    <xf numFmtId="2" fontId="119" fillId="0" borderId="0" xfId="0" applyNumberFormat="1" applyFont="1" applyAlignment="1">
      <alignment horizontal="right"/>
    </xf>
    <xf numFmtId="0" fontId="119" fillId="0" borderId="0" xfId="0" applyFont="1"/>
    <xf numFmtId="2" fontId="105" fillId="33" borderId="79" xfId="0" applyNumberFormat="1" applyFont="1" applyFill="1" applyBorder="1" applyAlignment="1" applyProtection="1">
      <alignment horizontal="right"/>
      <protection locked="0"/>
    </xf>
    <xf numFmtId="3" fontId="73" fillId="18" borderId="0" xfId="15" applyFont="1" applyFill="1" applyBorder="1" applyAlignment="1" applyProtection="1"/>
    <xf numFmtId="3" fontId="73" fillId="10" borderId="466" xfId="15" applyFont="1" applyFill="1" applyBorder="1" applyAlignment="1" applyProtection="1"/>
    <xf numFmtId="3" fontId="4" fillId="3" borderId="234" xfId="15" applyFont="1" applyFill="1" applyBorder="1" applyAlignment="1" applyProtection="1">
      <alignment horizontal="center" vertical="center" wrapText="1"/>
    </xf>
    <xf numFmtId="3" fontId="4" fillId="3" borderId="40" xfId="15" applyFont="1" applyFill="1" applyBorder="1" applyAlignment="1" applyProtection="1">
      <alignment horizontal="center" vertical="center" wrapText="1"/>
    </xf>
    <xf numFmtId="3" fontId="38" fillId="21" borderId="456" xfId="15" applyFont="1" applyFill="1" applyBorder="1" applyAlignment="1" applyProtection="1">
      <alignment horizontal="center" wrapText="1"/>
    </xf>
    <xf numFmtId="3" fontId="4" fillId="3" borderId="54" xfId="15" applyFont="1" applyFill="1" applyBorder="1" applyAlignment="1" applyProtection="1">
      <alignment horizontal="center" vertical="center" wrapText="1"/>
    </xf>
    <xf numFmtId="3" fontId="73" fillId="10" borderId="457" xfId="15" applyFont="1" applyFill="1" applyBorder="1" applyAlignment="1" applyProtection="1"/>
    <xf numFmtId="1" fontId="43" fillId="16" borderId="469" xfId="0" applyNumberFormat="1" applyFont="1" applyFill="1" applyBorder="1" applyAlignment="1">
      <alignment horizontal="center"/>
    </xf>
    <xf numFmtId="3" fontId="137" fillId="15" borderId="392" xfId="0" applyNumberFormat="1" applyFont="1" applyFill="1" applyBorder="1" applyAlignment="1">
      <alignment horizontal="center"/>
    </xf>
    <xf numFmtId="3" fontId="134" fillId="33" borderId="396" xfId="0" applyNumberFormat="1" applyFont="1" applyFill="1" applyBorder="1" applyProtection="1">
      <protection locked="0"/>
    </xf>
    <xf numFmtId="0" fontId="4" fillId="10" borderId="385" xfId="0" applyFont="1" applyFill="1" applyBorder="1"/>
    <xf numFmtId="0" fontId="4" fillId="33" borderId="463" xfId="0" applyFont="1" applyFill="1" applyBorder="1" applyProtection="1">
      <protection locked="0"/>
    </xf>
    <xf numFmtId="0" fontId="4" fillId="7" borderId="477" xfId="0" applyFont="1" applyFill="1" applyBorder="1"/>
    <xf numFmtId="0" fontId="67" fillId="10" borderId="468" xfId="0" applyFont="1" applyFill="1" applyBorder="1"/>
    <xf numFmtId="0" fontId="4" fillId="33" borderId="479" xfId="0" applyFont="1" applyFill="1" applyBorder="1" applyAlignment="1" applyProtection="1">
      <alignment horizontal="left"/>
      <protection locked="0"/>
    </xf>
    <xf numFmtId="1" fontId="43" fillId="16" borderId="153" xfId="0" applyNumberFormat="1" applyFont="1" applyFill="1" applyBorder="1" applyAlignment="1">
      <alignment horizontal="center"/>
    </xf>
    <xf numFmtId="0" fontId="4" fillId="33" borderId="482" xfId="0" applyFont="1" applyFill="1" applyBorder="1" applyAlignment="1" applyProtection="1">
      <alignment horizontal="left"/>
      <protection locked="0"/>
    </xf>
    <xf numFmtId="3" fontId="4" fillId="7" borderId="483" xfId="0" applyNumberFormat="1" applyFont="1" applyFill="1" applyBorder="1"/>
    <xf numFmtId="3" fontId="4" fillId="7" borderId="484" xfId="0" applyNumberFormat="1" applyFont="1" applyFill="1" applyBorder="1"/>
    <xf numFmtId="0" fontId="67" fillId="10" borderId="485" xfId="0" applyFont="1" applyFill="1" applyBorder="1"/>
    <xf numFmtId="0" fontId="67" fillId="10" borderId="486" xfId="0" applyFont="1" applyFill="1" applyBorder="1"/>
    <xf numFmtId="1" fontId="43" fillId="16" borderId="487" xfId="0" applyNumberFormat="1" applyFont="1" applyFill="1" applyBorder="1" applyAlignment="1">
      <alignment horizontal="center"/>
    </xf>
    <xf numFmtId="0" fontId="4" fillId="33" borderId="488" xfId="0" applyFont="1" applyFill="1" applyBorder="1" applyAlignment="1" applyProtection="1">
      <alignment horizontal="left"/>
      <protection locked="0"/>
    </xf>
    <xf numFmtId="3" fontId="104" fillId="33" borderId="489" xfId="0" applyNumberFormat="1" applyFont="1" applyFill="1" applyBorder="1" applyProtection="1">
      <protection locked="0"/>
    </xf>
    <xf numFmtId="3" fontId="73" fillId="9" borderId="341" xfId="0" applyNumberFormat="1" applyFont="1" applyFill="1" applyBorder="1"/>
    <xf numFmtId="3" fontId="4" fillId="3" borderId="315" xfId="15" applyFont="1" applyFill="1" applyBorder="1" applyAlignment="1" applyProtection="1">
      <alignment horizontal="center" vertical="center" wrapText="1"/>
    </xf>
    <xf numFmtId="3" fontId="4" fillId="33" borderId="78" xfId="15" applyFont="1" applyFill="1" applyBorder="1" applyAlignment="1" applyProtection="1">
      <protection locked="0"/>
    </xf>
    <xf numFmtId="3" fontId="4" fillId="33" borderId="163" xfId="15" applyFont="1" applyFill="1" applyBorder="1" applyAlignment="1" applyProtection="1">
      <protection locked="0"/>
    </xf>
    <xf numFmtId="3" fontId="140" fillId="51" borderId="491" xfId="0" applyNumberFormat="1" applyFont="1" applyFill="1" applyBorder="1" applyProtection="1">
      <protection locked="0"/>
    </xf>
    <xf numFmtId="3" fontId="138" fillId="33" borderId="494" xfId="0" applyNumberFormat="1" applyFont="1" applyFill="1" applyBorder="1" applyProtection="1">
      <protection locked="0"/>
    </xf>
    <xf numFmtId="3" fontId="140" fillId="51" borderId="496" xfId="0" applyNumberFormat="1" applyFont="1" applyFill="1" applyBorder="1" applyProtection="1">
      <protection locked="0"/>
    </xf>
    <xf numFmtId="3" fontId="4" fillId="3" borderId="497" xfId="15" applyFont="1" applyFill="1" applyBorder="1" applyAlignment="1" applyProtection="1">
      <alignment horizontal="center" vertical="center" wrapText="1"/>
    </xf>
    <xf numFmtId="3" fontId="4" fillId="3" borderId="312" xfId="15" applyFont="1" applyFill="1" applyBorder="1" applyAlignment="1" applyProtection="1">
      <alignment horizontal="center" vertical="center" wrapText="1"/>
    </xf>
    <xf numFmtId="3" fontId="140" fillId="51" borderId="482" xfId="0" applyNumberFormat="1" applyFont="1" applyFill="1" applyBorder="1" applyProtection="1">
      <protection locked="0"/>
    </xf>
    <xf numFmtId="3" fontId="140" fillId="51" borderId="498" xfId="0" applyNumberFormat="1" applyFont="1" applyFill="1" applyBorder="1" applyProtection="1">
      <protection locked="0"/>
    </xf>
    <xf numFmtId="3" fontId="138" fillId="33" borderId="385" xfId="0" applyNumberFormat="1" applyFont="1" applyFill="1" applyBorder="1" applyProtection="1">
      <protection locked="0"/>
    </xf>
    <xf numFmtId="3" fontId="138" fillId="33" borderId="499" xfId="0" applyNumberFormat="1" applyFont="1" applyFill="1" applyBorder="1" applyProtection="1">
      <protection locked="0"/>
    </xf>
    <xf numFmtId="3" fontId="138" fillId="33" borderId="495" xfId="0" applyNumberFormat="1" applyFont="1" applyFill="1" applyBorder="1" applyProtection="1">
      <protection locked="0"/>
    </xf>
    <xf numFmtId="3" fontId="4" fillId="3" borderId="473" xfId="15" applyFont="1" applyFill="1" applyBorder="1" applyAlignment="1" applyProtection="1">
      <alignment horizontal="center" vertical="center" wrapText="1"/>
    </xf>
    <xf numFmtId="3" fontId="4" fillId="3" borderId="99" xfId="15" applyFont="1" applyFill="1" applyBorder="1" applyAlignment="1" applyProtection="1">
      <alignment horizontal="center" vertical="center" wrapText="1"/>
    </xf>
    <xf numFmtId="3" fontId="140" fillId="51" borderId="493" xfId="0" applyNumberFormat="1" applyFont="1" applyFill="1" applyBorder="1" applyProtection="1">
      <protection locked="0"/>
    </xf>
    <xf numFmtId="3" fontId="138" fillId="33" borderId="500" xfId="0" applyNumberFormat="1" applyFont="1" applyFill="1" applyBorder="1" applyProtection="1">
      <protection locked="0"/>
    </xf>
    <xf numFmtId="3" fontId="137" fillId="11" borderId="482" xfId="0" applyNumberFormat="1" applyFont="1" applyFill="1" applyBorder="1"/>
    <xf numFmtId="3" fontId="137" fillId="11" borderId="493" xfId="0" applyNumberFormat="1" applyFont="1" applyFill="1" applyBorder="1"/>
    <xf numFmtId="3" fontId="67" fillId="10" borderId="501" xfId="15" applyFont="1" applyFill="1" applyBorder="1" applyAlignment="1" applyProtection="1"/>
    <xf numFmtId="3" fontId="67" fillId="10" borderId="416" xfId="15" applyFont="1" applyFill="1" applyBorder="1" applyAlignment="1" applyProtection="1"/>
    <xf numFmtId="3" fontId="138" fillId="33" borderId="502" xfId="0" applyNumberFormat="1" applyFont="1" applyFill="1" applyBorder="1" applyProtection="1">
      <protection locked="0"/>
    </xf>
    <xf numFmtId="3" fontId="4" fillId="3" borderId="217" xfId="15" applyFont="1" applyFill="1" applyBorder="1" applyAlignment="1" applyProtection="1">
      <alignment horizontal="center" vertical="center" wrapText="1"/>
    </xf>
    <xf numFmtId="3" fontId="67" fillId="10" borderId="213" xfId="15" applyFont="1" applyFill="1" applyBorder="1" applyAlignment="1" applyProtection="1"/>
    <xf numFmtId="3" fontId="4" fillId="3" borderId="503" xfId="15" applyFont="1" applyFill="1" applyBorder="1" applyAlignment="1" applyProtection="1">
      <alignment horizontal="center" vertical="center" wrapText="1"/>
    </xf>
    <xf numFmtId="3" fontId="137" fillId="11" borderId="385" xfId="0" applyNumberFormat="1" applyFont="1" applyFill="1" applyBorder="1"/>
    <xf numFmtId="3" fontId="137" fillId="11" borderId="495" xfId="0" applyNumberFormat="1" applyFont="1" applyFill="1" applyBorder="1"/>
    <xf numFmtId="1" fontId="112" fillId="3" borderId="0" xfId="15" applyNumberFormat="1" applyFont="1" applyFill="1" applyBorder="1" applyAlignment="1" applyProtection="1">
      <alignment horizontal="center" vertical="center" wrapText="1"/>
    </xf>
    <xf numFmtId="3" fontId="112" fillId="3" borderId="191" xfId="15" applyFont="1" applyFill="1" applyBorder="1" applyAlignment="1" applyProtection="1">
      <alignment horizontal="center" vertical="center" wrapText="1"/>
    </xf>
    <xf numFmtId="1" fontId="112" fillId="3" borderId="192" xfId="15" applyNumberFormat="1" applyFont="1" applyFill="1" applyBorder="1" applyAlignment="1" applyProtection="1">
      <alignment horizontal="center" vertical="center" wrapText="1"/>
    </xf>
    <xf numFmtId="2" fontId="3" fillId="7" borderId="271" xfId="0" applyNumberFormat="1" applyFont="1" applyFill="1" applyBorder="1" applyAlignment="1">
      <alignment horizontal="center"/>
    </xf>
    <xf numFmtId="3" fontId="73" fillId="0" borderId="0" xfId="15" applyFont="1" applyFill="1" applyBorder="1" applyAlignment="1" applyProtection="1">
      <alignment horizontal="center" vertical="top" wrapText="1"/>
    </xf>
    <xf numFmtId="4" fontId="73" fillId="0" borderId="0" xfId="15" applyNumberFormat="1" applyFont="1" applyFill="1" applyBorder="1" applyAlignment="1" applyProtection="1"/>
    <xf numFmtId="4" fontId="105" fillId="33" borderId="197" xfId="0" applyNumberFormat="1" applyFont="1" applyFill="1" applyBorder="1" applyAlignment="1" applyProtection="1">
      <alignment horizontal="right"/>
      <protection locked="0"/>
    </xf>
    <xf numFmtId="4" fontId="105" fillId="33" borderId="83" xfId="0" applyNumberFormat="1" applyFont="1" applyFill="1" applyBorder="1" applyAlignment="1" applyProtection="1">
      <alignment horizontal="right"/>
      <protection locked="0"/>
    </xf>
    <xf numFmtId="4" fontId="105" fillId="33" borderId="197" xfId="75" applyNumberFormat="1" applyFont="1" applyFill="1" applyBorder="1" applyAlignment="1" applyProtection="1">
      <alignment horizontal="right"/>
      <protection locked="0"/>
    </xf>
    <xf numFmtId="0" fontId="104" fillId="33" borderId="505" xfId="10" applyNumberFormat="1" applyFont="1" applyFill="1" applyBorder="1" applyAlignment="1" applyProtection="1">
      <alignment horizontal="right"/>
      <protection locked="0"/>
    </xf>
    <xf numFmtId="0" fontId="2" fillId="11" borderId="0" xfId="0" applyFont="1" applyFill="1" applyAlignment="1">
      <alignment horizontal="center" wrapText="1"/>
    </xf>
    <xf numFmtId="3" fontId="4" fillId="33" borderId="398" xfId="15" applyFont="1" applyFill="1" applyBorder="1" applyAlignment="1" applyProtection="1">
      <alignment horizontal="left"/>
      <protection locked="0"/>
    </xf>
    <xf numFmtId="3" fontId="4" fillId="33" borderId="434" xfId="15" applyFont="1" applyFill="1" applyBorder="1" applyAlignment="1" applyProtection="1">
      <alignment horizontal="left"/>
      <protection locked="0"/>
    </xf>
    <xf numFmtId="3" fontId="4" fillId="33" borderId="163" xfId="15" applyFont="1" applyFill="1" applyBorder="1" applyAlignment="1" applyProtection="1">
      <alignment horizontal="left"/>
      <protection locked="0"/>
    </xf>
    <xf numFmtId="3" fontId="4" fillId="33" borderId="511" xfId="15" applyFont="1" applyFill="1" applyBorder="1" applyAlignment="1" applyProtection="1">
      <alignment horizontal="left"/>
      <protection locked="0"/>
    </xf>
    <xf numFmtId="3" fontId="38" fillId="21" borderId="416" xfId="15" applyFont="1" applyFill="1" applyBorder="1" applyAlignment="1" applyProtection="1">
      <alignment horizontal="center" wrapText="1"/>
    </xf>
    <xf numFmtId="3" fontId="38" fillId="3" borderId="508" xfId="15" applyFont="1" applyFill="1" applyBorder="1" applyAlignment="1" applyProtection="1">
      <alignment horizontal="center"/>
    </xf>
    <xf numFmtId="3" fontId="4" fillId="11" borderId="158" xfId="15" applyFont="1" applyFill="1" applyBorder="1" applyAlignment="1" applyProtection="1">
      <alignment horizontal="center"/>
    </xf>
    <xf numFmtId="0" fontId="4" fillId="22" borderId="428" xfId="0" applyFont="1" applyFill="1" applyBorder="1"/>
    <xf numFmtId="3" fontId="4" fillId="3" borderId="416" xfId="15" applyFont="1" applyFill="1" applyBorder="1" applyAlignment="1" applyProtection="1">
      <alignment horizontal="center" vertical="center" wrapText="1"/>
    </xf>
    <xf numFmtId="3" fontId="4" fillId="3" borderId="201" xfId="15" applyFont="1" applyFill="1" applyBorder="1" applyAlignment="1" applyProtection="1">
      <alignment horizontal="center" vertical="center" wrapText="1"/>
    </xf>
    <xf numFmtId="3" fontId="140" fillId="51" borderId="463" xfId="0" applyNumberFormat="1" applyFont="1" applyFill="1" applyBorder="1" applyProtection="1">
      <protection locked="0"/>
    </xf>
    <xf numFmtId="3" fontId="140" fillId="51" borderId="112" xfId="0" applyNumberFormat="1" applyFont="1" applyFill="1" applyBorder="1" applyProtection="1">
      <protection locked="0"/>
    </xf>
    <xf numFmtId="3" fontId="4" fillId="3" borderId="457" xfId="15" applyFont="1" applyFill="1" applyBorder="1" applyAlignment="1" applyProtection="1">
      <alignment horizontal="center" vertical="center" wrapText="1"/>
    </xf>
    <xf numFmtId="3" fontId="4" fillId="3" borderId="517" xfId="15" applyFont="1" applyFill="1" applyBorder="1" applyAlignment="1" applyProtection="1">
      <alignment horizontal="center" vertical="center" wrapText="1"/>
    </xf>
    <xf numFmtId="3" fontId="3" fillId="3" borderId="517" xfId="15" applyFont="1" applyFill="1" applyBorder="1" applyAlignment="1" applyProtection="1">
      <alignment horizontal="center" vertical="center" wrapText="1"/>
    </xf>
    <xf numFmtId="3" fontId="4" fillId="3" borderId="363" xfId="15" applyFont="1" applyFill="1" applyBorder="1" applyAlignment="1" applyProtection="1">
      <alignment horizontal="center" vertical="center" wrapText="1"/>
    </xf>
    <xf numFmtId="3" fontId="4" fillId="3" borderId="518" xfId="15" applyFont="1" applyFill="1" applyBorder="1" applyAlignment="1" applyProtection="1">
      <alignment horizontal="center" vertical="center" wrapText="1"/>
    </xf>
    <xf numFmtId="0" fontId="38" fillId="33" borderId="529" xfId="0" applyFont="1" applyFill="1" applyBorder="1" applyAlignment="1" applyProtection="1">
      <alignment horizontal="left"/>
      <protection locked="0"/>
    </xf>
    <xf numFmtId="0" fontId="4" fillId="7" borderId="537" xfId="0" applyFont="1" applyFill="1" applyBorder="1"/>
    <xf numFmtId="0" fontId="2" fillId="11" borderId="217" xfId="0" applyFont="1" applyFill="1" applyBorder="1" applyAlignment="1">
      <alignment horizontal="center" wrapText="1"/>
    </xf>
    <xf numFmtId="0" fontId="16" fillId="16" borderId="541" xfId="0" applyFont="1" applyFill="1" applyBorder="1" applyAlignment="1">
      <alignment horizontal="center" vertical="top" wrapText="1"/>
    </xf>
    <xf numFmtId="0" fontId="3" fillId="16" borderId="540" xfId="0" applyFont="1" applyFill="1" applyBorder="1" applyAlignment="1">
      <alignment vertical="top" wrapText="1"/>
    </xf>
    <xf numFmtId="3" fontId="3" fillId="33" borderId="542" xfId="0" applyNumberFormat="1" applyFont="1" applyFill="1" applyBorder="1" applyAlignment="1" applyProtection="1">
      <alignment horizontal="center"/>
      <protection locked="0"/>
    </xf>
    <xf numFmtId="1" fontId="3" fillId="16" borderId="541" xfId="15" applyNumberFormat="1" applyFont="1" applyFill="1" applyBorder="1" applyAlignment="1" applyProtection="1">
      <alignment horizontal="center" vertical="top" wrapText="1"/>
    </xf>
    <xf numFmtId="0" fontId="0" fillId="33" borderId="512" xfId="0" applyFill="1" applyBorder="1" applyProtection="1">
      <protection locked="0"/>
    </xf>
    <xf numFmtId="0" fontId="0" fillId="33" borderId="513" xfId="0" applyFill="1" applyBorder="1" applyProtection="1">
      <protection locked="0"/>
    </xf>
    <xf numFmtId="0" fontId="0" fillId="33" borderId="514" xfId="0" applyFill="1" applyBorder="1" applyProtection="1">
      <protection locked="0"/>
    </xf>
    <xf numFmtId="0" fontId="0" fillId="33" borderId="343" xfId="0" applyFill="1" applyBorder="1" applyProtection="1">
      <protection locked="0"/>
    </xf>
    <xf numFmtId="3" fontId="105" fillId="5" borderId="197" xfId="1" applyNumberFormat="1" applyFont="1" applyFill="1" applyBorder="1" applyAlignment="1" applyProtection="1">
      <alignment horizontal="right"/>
    </xf>
    <xf numFmtId="3" fontId="105" fillId="11" borderId="197" xfId="0" applyNumberFormat="1" applyFont="1" applyFill="1" applyBorder="1"/>
    <xf numFmtId="2" fontId="3" fillId="16" borderId="543" xfId="15" applyNumberFormat="1" applyFont="1" applyFill="1" applyBorder="1" applyAlignment="1" applyProtection="1">
      <alignment horizontal="center" vertical="top" wrapText="1"/>
    </xf>
    <xf numFmtId="4" fontId="140" fillId="51" borderId="463" xfId="0" applyNumberFormat="1" applyFont="1" applyFill="1" applyBorder="1" applyProtection="1">
      <protection locked="0"/>
    </xf>
    <xf numFmtId="4" fontId="140" fillId="51" borderId="439" xfId="0" applyNumberFormat="1" applyFont="1" applyFill="1" applyBorder="1" applyProtection="1">
      <protection locked="0"/>
    </xf>
    <xf numFmtId="4" fontId="140" fillId="51" borderId="482" xfId="0" applyNumberFormat="1" applyFont="1" applyFill="1" applyBorder="1" applyProtection="1">
      <protection locked="0"/>
    </xf>
    <xf numFmtId="4" fontId="138" fillId="33" borderId="385" xfId="0" applyNumberFormat="1" applyFont="1" applyFill="1" applyBorder="1" applyProtection="1">
      <protection locked="0"/>
    </xf>
    <xf numFmtId="3" fontId="105" fillId="53" borderId="417" xfId="15" applyFont="1" applyFill="1" applyBorder="1" applyAlignment="1" applyProtection="1"/>
    <xf numFmtId="3" fontId="105" fillId="53" borderId="420" xfId="15" applyFont="1" applyFill="1" applyBorder="1" applyAlignment="1" applyProtection="1"/>
    <xf numFmtId="4" fontId="137" fillId="11" borderId="463" xfId="0" applyNumberFormat="1" applyFont="1" applyFill="1" applyBorder="1"/>
    <xf numFmtId="4" fontId="137" fillId="11" borderId="134" xfId="0" applyNumberFormat="1" applyFont="1" applyFill="1" applyBorder="1"/>
    <xf numFmtId="4" fontId="137" fillId="11" borderId="482" xfId="0" applyNumberFormat="1" applyFont="1" applyFill="1" applyBorder="1"/>
    <xf numFmtId="4" fontId="137" fillId="11" borderId="493" xfId="0" applyNumberFormat="1" applyFont="1" applyFill="1" applyBorder="1"/>
    <xf numFmtId="4" fontId="67" fillId="10" borderId="515" xfId="15" applyNumberFormat="1" applyFont="1" applyFill="1" applyBorder="1" applyAlignment="1" applyProtection="1"/>
    <xf numFmtId="4" fontId="67" fillId="10" borderId="516" xfId="15" applyNumberFormat="1" applyFont="1" applyFill="1" applyBorder="1" applyAlignment="1" applyProtection="1"/>
    <xf numFmtId="4" fontId="139" fillId="51" borderId="463" xfId="0" applyNumberFormat="1" applyFont="1" applyFill="1" applyBorder="1" applyProtection="1">
      <protection locked="0"/>
    </xf>
    <xf numFmtId="4" fontId="139" fillId="51" borderId="439" xfId="0" applyNumberFormat="1" applyFont="1" applyFill="1" applyBorder="1" applyProtection="1">
      <protection locked="0"/>
    </xf>
    <xf numFmtId="4" fontId="139" fillId="51" borderId="409" xfId="0" applyNumberFormat="1" applyFont="1" applyFill="1" applyBorder="1" applyProtection="1">
      <protection locked="0"/>
    </xf>
    <xf numFmtId="4" fontId="138" fillId="33" borderId="412" xfId="11" applyNumberFormat="1" applyFont="1" applyFill="1" applyBorder="1" applyAlignment="1" applyProtection="1">
      <protection locked="0"/>
    </xf>
    <xf numFmtId="3" fontId="105" fillId="55" borderId="417" xfId="15" applyFont="1" applyFill="1" applyBorder="1" applyAlignment="1" applyProtection="1"/>
    <xf numFmtId="3" fontId="105" fillId="55" borderId="418" xfId="2" applyNumberFormat="1" applyFont="1" applyFill="1" applyBorder="1" applyAlignment="1" applyProtection="1"/>
    <xf numFmtId="3" fontId="3" fillId="11" borderId="87" xfId="11" applyFont="1" applyFill="1" applyBorder="1" applyAlignment="1" applyProtection="1"/>
    <xf numFmtId="2" fontId="3" fillId="74" borderId="544" xfId="15" applyNumberFormat="1" applyFont="1" applyFill="1" applyBorder="1" applyAlignment="1" applyProtection="1">
      <alignment horizontal="center" vertical="top" wrapText="1"/>
      <protection locked="0"/>
    </xf>
    <xf numFmtId="2" fontId="3" fillId="33" borderId="271" xfId="0" applyNumberFormat="1" applyFont="1" applyFill="1" applyBorder="1" applyAlignment="1" applyProtection="1">
      <alignment horizontal="center"/>
      <protection locked="0"/>
    </xf>
    <xf numFmtId="2" fontId="0" fillId="33" borderId="271" xfId="0" applyNumberFormat="1" applyFill="1" applyBorder="1" applyAlignment="1" applyProtection="1">
      <alignment horizontal="center"/>
      <protection locked="0"/>
    </xf>
    <xf numFmtId="3" fontId="104" fillId="0" borderId="0" xfId="15" applyFont="1" applyFill="1" applyBorder="1" applyAlignment="1" applyProtection="1"/>
    <xf numFmtId="3" fontId="119" fillId="10" borderId="141" xfId="0" applyNumberFormat="1" applyFont="1" applyFill="1" applyBorder="1"/>
    <xf numFmtId="2" fontId="82" fillId="0" borderId="0" xfId="45" applyNumberFormat="1" applyFont="1"/>
    <xf numFmtId="0" fontId="38" fillId="6" borderId="565" xfId="0" applyFont="1" applyFill="1" applyBorder="1" applyAlignment="1">
      <alignment horizontal="left"/>
    </xf>
    <xf numFmtId="0" fontId="4" fillId="6" borderId="566" xfId="0" applyFont="1" applyFill="1" applyBorder="1" applyAlignment="1">
      <alignment horizontal="left"/>
    </xf>
    <xf numFmtId="0" fontId="4" fillId="6" borderId="567" xfId="0" applyFont="1" applyFill="1" applyBorder="1" applyAlignment="1">
      <alignment horizontal="left"/>
    </xf>
    <xf numFmtId="0" fontId="69" fillId="6" borderId="0" xfId="0" applyFont="1" applyFill="1"/>
    <xf numFmtId="0" fontId="0" fillId="0" borderId="118" xfId="0" applyBorder="1" applyAlignment="1">
      <alignment vertical="top" wrapText="1"/>
    </xf>
    <xf numFmtId="4" fontId="34" fillId="33" borderId="547" xfId="74" applyFont="1" applyFill="1" applyBorder="1" applyAlignment="1" applyProtection="1">
      <alignment horizontal="right"/>
      <protection locked="0"/>
    </xf>
    <xf numFmtId="4" fontId="34" fillId="7" borderId="547" xfId="74" applyFont="1" applyFill="1" applyBorder="1" applyAlignment="1" applyProtection="1">
      <alignment horizontal="right"/>
    </xf>
    <xf numFmtId="4" fontId="78" fillId="65" borderId="572" xfId="45" applyNumberFormat="1" applyFill="1" applyBorder="1"/>
    <xf numFmtId="4" fontId="78" fillId="0" borderId="450" xfId="45" applyNumberFormat="1" applyBorder="1"/>
    <xf numFmtId="0" fontId="38" fillId="0" borderId="231" xfId="0" applyFont="1" applyBorder="1" applyAlignment="1">
      <alignment horizontal="center"/>
    </xf>
    <xf numFmtId="0" fontId="78" fillId="42" borderId="572" xfId="45" applyFill="1" applyBorder="1"/>
    <xf numFmtId="0" fontId="78" fillId="33" borderId="572" xfId="45" applyFill="1" applyBorder="1" applyProtection="1">
      <protection locked="0"/>
    </xf>
    <xf numFmtId="4" fontId="59" fillId="42" borderId="572" xfId="1" applyFill="1" applyBorder="1"/>
    <xf numFmtId="0" fontId="117" fillId="63" borderId="572" xfId="45" applyFont="1" applyFill="1" applyBorder="1"/>
    <xf numFmtId="4" fontId="59" fillId="63" borderId="572" xfId="1" applyFill="1" applyBorder="1"/>
    <xf numFmtId="0" fontId="154" fillId="33" borderId="197" xfId="45" applyFont="1" applyFill="1" applyBorder="1" applyAlignment="1" applyProtection="1">
      <alignment horizontal="center"/>
      <protection locked="0"/>
    </xf>
    <xf numFmtId="0" fontId="100" fillId="0" borderId="0" xfId="45" applyFont="1"/>
    <xf numFmtId="0" fontId="155" fillId="0" borderId="0" xfId="45" applyFont="1"/>
    <xf numFmtId="0" fontId="100" fillId="7" borderId="464" xfId="45" applyFont="1" applyFill="1" applyBorder="1" applyAlignment="1">
      <alignment horizontal="left"/>
    </xf>
    <xf numFmtId="0" fontId="100" fillId="7" borderId="460" xfId="45" applyFont="1" applyFill="1" applyBorder="1" applyAlignment="1">
      <alignment horizontal="left"/>
    </xf>
    <xf numFmtId="0" fontId="100" fillId="33" borderId="197" xfId="45" applyFont="1" applyFill="1" applyBorder="1" applyAlignment="1" applyProtection="1">
      <alignment horizontal="center"/>
      <protection locked="0"/>
    </xf>
    <xf numFmtId="4" fontId="100" fillId="33" borderId="197" xfId="46" applyNumberFormat="1" applyFont="1" applyFill="1" applyBorder="1" applyAlignment="1" applyProtection="1">
      <alignment horizontal="center"/>
      <protection locked="0"/>
    </xf>
    <xf numFmtId="0" fontId="100" fillId="0" borderId="0" xfId="45" applyFont="1" applyAlignment="1">
      <alignment wrapText="1"/>
    </xf>
    <xf numFmtId="177" fontId="100" fillId="0" borderId="0" xfId="45" applyNumberFormat="1" applyFont="1" applyAlignment="1">
      <alignment horizontal="left"/>
    </xf>
    <xf numFmtId="4" fontId="100" fillId="7" borderId="197" xfId="46" applyNumberFormat="1" applyFont="1" applyFill="1" applyBorder="1" applyAlignment="1">
      <alignment horizontal="right"/>
    </xf>
    <xf numFmtId="4" fontId="100" fillId="30" borderId="120" xfId="46" applyNumberFormat="1" applyFont="1" applyFill="1" applyBorder="1" applyAlignment="1"/>
    <xf numFmtId="4" fontId="100" fillId="7" borderId="120" xfId="46" applyNumberFormat="1" applyFont="1" applyFill="1" applyBorder="1" applyAlignment="1">
      <alignment horizontal="right"/>
    </xf>
    <xf numFmtId="4" fontId="100" fillId="7" borderId="120" xfId="46" applyNumberFormat="1" applyFont="1" applyFill="1" applyBorder="1" applyAlignment="1"/>
    <xf numFmtId="0" fontId="100" fillId="0" borderId="0" xfId="46" applyNumberFormat="1" applyFont="1"/>
    <xf numFmtId="4" fontId="100" fillId="33" borderId="120" xfId="46" applyNumberFormat="1" applyFont="1" applyFill="1" applyBorder="1" applyAlignment="1" applyProtection="1">
      <protection locked="0"/>
    </xf>
    <xf numFmtId="4" fontId="100" fillId="30" borderId="122" xfId="46" applyNumberFormat="1" applyFont="1" applyFill="1" applyBorder="1" applyAlignment="1"/>
    <xf numFmtId="4" fontId="100" fillId="33" borderId="122" xfId="46" applyNumberFormat="1" applyFont="1" applyFill="1" applyBorder="1" applyAlignment="1" applyProtection="1">
      <protection locked="0"/>
    </xf>
    <xf numFmtId="4" fontId="100" fillId="30" borderId="124" xfId="46" applyNumberFormat="1" applyFont="1" applyFill="1" applyBorder="1" applyAlignment="1"/>
    <xf numFmtId="4" fontId="100" fillId="33" borderId="124" xfId="46" applyNumberFormat="1" applyFont="1" applyFill="1" applyBorder="1" applyAlignment="1" applyProtection="1">
      <protection locked="0"/>
    </xf>
    <xf numFmtId="4" fontId="100" fillId="33" borderId="112" xfId="46" applyNumberFormat="1" applyFont="1" applyFill="1" applyBorder="1" applyAlignment="1" applyProtection="1">
      <protection locked="0"/>
    </xf>
    <xf numFmtId="4" fontId="100" fillId="30" borderId="125" xfId="46" applyNumberFormat="1" applyFont="1" applyFill="1" applyBorder="1" applyAlignment="1"/>
    <xf numFmtId="4" fontId="100" fillId="33" borderId="125" xfId="46" applyNumberFormat="1" applyFont="1" applyFill="1" applyBorder="1" applyAlignment="1" applyProtection="1">
      <protection locked="0"/>
    </xf>
    <xf numFmtId="4" fontId="100" fillId="30" borderId="122" xfId="46" applyNumberFormat="1" applyFont="1" applyFill="1" applyBorder="1" applyAlignment="1" applyProtection="1">
      <protection locked="0"/>
    </xf>
    <xf numFmtId="4" fontId="100" fillId="33" borderId="276" xfId="46" applyNumberFormat="1" applyFont="1" applyFill="1" applyBorder="1" applyAlignment="1" applyProtection="1">
      <protection locked="0"/>
    </xf>
    <xf numFmtId="4" fontId="100" fillId="30" borderId="197" xfId="46" applyNumberFormat="1" applyFont="1" applyFill="1" applyBorder="1" applyAlignment="1"/>
    <xf numFmtId="4" fontId="100" fillId="33" borderId="197" xfId="46" applyNumberFormat="1" applyFont="1" applyFill="1" applyBorder="1" applyAlignment="1" applyProtection="1">
      <protection locked="0"/>
    </xf>
    <xf numFmtId="4" fontId="100" fillId="33" borderId="506" xfId="46" applyNumberFormat="1" applyFont="1" applyFill="1" applyBorder="1" applyAlignment="1" applyProtection="1">
      <protection locked="0"/>
    </xf>
    <xf numFmtId="4" fontId="100" fillId="30" borderId="127" xfId="46" applyNumberFormat="1" applyFont="1" applyFill="1" applyBorder="1" applyAlignment="1"/>
    <xf numFmtId="4" fontId="100" fillId="7" borderId="127" xfId="46" applyNumberFormat="1" applyFont="1" applyFill="1" applyBorder="1" applyAlignment="1"/>
    <xf numFmtId="4" fontId="100" fillId="33" borderId="128" xfId="110" applyNumberFormat="1" applyFont="1" applyFill="1" applyBorder="1" applyAlignment="1" applyProtection="1">
      <alignment horizontal="center"/>
      <protection locked="0"/>
    </xf>
    <xf numFmtId="4" fontId="100" fillId="33" borderId="506" xfId="46" applyNumberFormat="1" applyFont="1" applyFill="1" applyBorder="1" applyAlignment="1" applyProtection="1">
      <alignment horizontal="center"/>
      <protection locked="0"/>
    </xf>
    <xf numFmtId="4" fontId="100" fillId="30" borderId="128" xfId="110" applyNumberFormat="1" applyFont="1" applyFill="1" applyBorder="1" applyAlignment="1" applyProtection="1">
      <alignment horizontal="center"/>
    </xf>
    <xf numFmtId="4" fontId="100" fillId="30" borderId="197" xfId="46" applyNumberFormat="1" applyFont="1" applyFill="1" applyBorder="1" applyAlignment="1" applyProtection="1">
      <alignment horizontal="center"/>
    </xf>
    <xf numFmtId="4" fontId="100" fillId="30" borderId="128" xfId="110" applyNumberFormat="1" applyFont="1" applyFill="1" applyBorder="1" applyAlignment="1" applyProtection="1">
      <alignment horizontal="center"/>
      <protection locked="0"/>
    </xf>
    <xf numFmtId="0" fontId="100" fillId="7" borderId="570" xfId="45" applyFont="1" applyFill="1" applyBorder="1" applyAlignment="1">
      <alignment horizontal="left"/>
    </xf>
    <xf numFmtId="0" fontId="100" fillId="7" borderId="571" xfId="45" applyFont="1" applyFill="1" applyBorder="1" applyAlignment="1">
      <alignment horizontal="left"/>
    </xf>
    <xf numFmtId="4" fontId="100" fillId="30" borderId="571" xfId="110" applyNumberFormat="1" applyFont="1" applyFill="1" applyBorder="1" applyAlignment="1" applyProtection="1">
      <alignment horizontal="center"/>
      <protection locked="0"/>
    </xf>
    <xf numFmtId="4" fontId="100" fillId="30" borderId="572" xfId="46" applyNumberFormat="1" applyFont="1" applyFill="1" applyBorder="1" applyAlignment="1" applyProtection="1">
      <alignment horizontal="center"/>
    </xf>
    <xf numFmtId="4" fontId="100" fillId="33" borderId="572" xfId="46" applyNumberFormat="1" applyFont="1" applyFill="1" applyBorder="1" applyAlignment="1" applyProtection="1">
      <alignment horizontal="center"/>
      <protection locked="0"/>
    </xf>
    <xf numFmtId="4" fontId="100" fillId="7" borderId="197" xfId="46" applyNumberFormat="1" applyFont="1" applyFill="1" applyBorder="1" applyAlignment="1"/>
    <xf numFmtId="4" fontId="100" fillId="7" borderId="125" xfId="46" applyNumberFormat="1" applyFont="1" applyFill="1" applyBorder="1" applyAlignment="1"/>
    <xf numFmtId="4" fontId="114" fillId="33" borderId="112" xfId="46" applyNumberFormat="1" applyFont="1" applyFill="1" applyBorder="1" applyAlignment="1" applyProtection="1">
      <protection locked="0"/>
    </xf>
    <xf numFmtId="4" fontId="114" fillId="33" borderId="548" xfId="46" applyNumberFormat="1" applyFont="1" applyFill="1" applyBorder="1" applyAlignment="1" applyProtection="1">
      <protection locked="0"/>
    </xf>
    <xf numFmtId="4" fontId="114" fillId="33" borderId="78" xfId="46" applyNumberFormat="1" applyFont="1" applyFill="1" applyBorder="1" applyAlignment="1" applyProtection="1">
      <protection locked="0"/>
    </xf>
    <xf numFmtId="4" fontId="114" fillId="33" borderId="197" xfId="46" applyNumberFormat="1" applyFont="1" applyFill="1" applyBorder="1" applyAlignment="1" applyProtection="1">
      <protection locked="0"/>
    </xf>
    <xf numFmtId="4" fontId="114" fillId="33" borderId="506" xfId="46" applyNumberFormat="1" applyFont="1" applyFill="1" applyBorder="1" applyAlignment="1" applyProtection="1">
      <protection locked="0"/>
    </xf>
    <xf numFmtId="4" fontId="114" fillId="33" borderId="87" xfId="46" applyNumberFormat="1" applyFont="1" applyFill="1" applyBorder="1" applyAlignment="1" applyProtection="1">
      <protection locked="0"/>
    </xf>
    <xf numFmtId="4" fontId="114" fillId="7" borderId="144" xfId="46" applyNumberFormat="1" applyFont="1" applyFill="1" applyBorder="1" applyAlignment="1"/>
    <xf numFmtId="3" fontId="155" fillId="6" borderId="0" xfId="45" applyNumberFormat="1" applyFont="1" applyFill="1" applyAlignment="1">
      <alignment horizontal="left"/>
    </xf>
    <xf numFmtId="4" fontId="114" fillId="7" borderId="197" xfId="46" applyNumberFormat="1" applyFont="1" applyFill="1" applyBorder="1" applyAlignment="1" applyProtection="1"/>
    <xf numFmtId="3" fontId="114" fillId="7" borderId="440" xfId="0" applyNumberFormat="1" applyFont="1" applyFill="1" applyBorder="1" applyAlignment="1">
      <alignment horizontal="center"/>
    </xf>
    <xf numFmtId="3" fontId="114" fillId="7" borderId="433" xfId="0" applyNumberFormat="1" applyFont="1" applyFill="1" applyBorder="1" applyAlignment="1">
      <alignment horizontal="center"/>
    </xf>
    <xf numFmtId="4" fontId="100" fillId="0" borderId="0" xfId="45" applyNumberFormat="1" applyFont="1"/>
    <xf numFmtId="3" fontId="156" fillId="33" borderId="318" xfId="0" applyNumberFormat="1" applyFont="1" applyFill="1" applyBorder="1" applyProtection="1">
      <protection locked="0"/>
    </xf>
    <xf numFmtId="3" fontId="156" fillId="33" borderId="58" xfId="0" applyNumberFormat="1" applyFont="1" applyFill="1" applyBorder="1" applyProtection="1">
      <protection locked="0"/>
    </xf>
    <xf numFmtId="0" fontId="100" fillId="0" borderId="0" xfId="44" applyFont="1"/>
    <xf numFmtId="0" fontId="100" fillId="7" borderId="170" xfId="0" applyFont="1" applyFill="1" applyBorder="1"/>
    <xf numFmtId="3" fontId="100" fillId="7" borderId="197" xfId="0" applyNumberFormat="1" applyFont="1" applyFill="1" applyBorder="1"/>
    <xf numFmtId="3" fontId="155" fillId="10" borderId="72" xfId="0" applyNumberFormat="1" applyFont="1" applyFill="1" applyBorder="1"/>
    <xf numFmtId="3" fontId="155" fillId="10" borderId="549" xfId="0" applyNumberFormat="1" applyFont="1" applyFill="1" applyBorder="1"/>
    <xf numFmtId="0" fontId="100" fillId="7" borderId="247" xfId="45" applyFont="1" applyFill="1" applyBorder="1"/>
    <xf numFmtId="3" fontId="156" fillId="33" borderId="325" xfId="0" applyNumberFormat="1" applyFont="1" applyFill="1" applyBorder="1" applyProtection="1">
      <protection locked="0"/>
    </xf>
    <xf numFmtId="3" fontId="156" fillId="33" borderId="550" xfId="0" applyNumberFormat="1" applyFont="1" applyFill="1" applyBorder="1" applyProtection="1">
      <protection locked="0"/>
    </xf>
    <xf numFmtId="3" fontId="155" fillId="10" borderId="0" xfId="45" applyNumberFormat="1" applyFont="1" applyFill="1" applyAlignment="1">
      <alignment horizontal="left"/>
    </xf>
    <xf numFmtId="9" fontId="100" fillId="33" borderId="435" xfId="26" applyFont="1" applyFill="1" applyBorder="1" applyAlignment="1" applyProtection="1">
      <alignment horizontal="center"/>
      <protection locked="0"/>
    </xf>
    <xf numFmtId="9" fontId="100" fillId="33" borderId="507" xfId="26" applyFont="1" applyFill="1" applyBorder="1" applyAlignment="1" applyProtection="1">
      <alignment horizontal="center"/>
      <protection locked="0"/>
    </xf>
    <xf numFmtId="0" fontId="157" fillId="14" borderId="436" xfId="45" applyFont="1" applyFill="1" applyBorder="1" applyAlignment="1">
      <alignment vertical="center" textRotation="90" wrapText="1"/>
    </xf>
    <xf numFmtId="0" fontId="100" fillId="14" borderId="437" xfId="45" applyFont="1" applyFill="1" applyBorder="1" applyAlignment="1">
      <alignment horizontal="left" wrapText="1"/>
    </xf>
    <xf numFmtId="0" fontId="157" fillId="14" borderId="362" xfId="45" applyFont="1" applyFill="1" applyBorder="1" applyAlignment="1">
      <alignment vertical="center" textRotation="90" wrapText="1"/>
    </xf>
    <xf numFmtId="0" fontId="100" fillId="14" borderId="392" xfId="45" applyFont="1" applyFill="1" applyBorder="1" applyAlignment="1">
      <alignment horizontal="left" wrapText="1"/>
    </xf>
    <xf numFmtId="4" fontId="100" fillId="33" borderId="392" xfId="45" applyNumberFormat="1" applyFont="1" applyFill="1" applyBorder="1" applyAlignment="1" applyProtection="1">
      <alignment horizontal="center"/>
      <protection locked="0"/>
    </xf>
    <xf numFmtId="4" fontId="100" fillId="33" borderId="506" xfId="45" applyNumberFormat="1" applyFont="1" applyFill="1" applyBorder="1" applyAlignment="1" applyProtection="1">
      <alignment horizontal="center"/>
      <protection locked="0"/>
    </xf>
    <xf numFmtId="0" fontId="100" fillId="14" borderId="386" xfId="45" applyFont="1" applyFill="1" applyBorder="1" applyAlignment="1">
      <alignment horizontal="left" wrapText="1"/>
    </xf>
    <xf numFmtId="4" fontId="100" fillId="14" borderId="386" xfId="1" applyFont="1" applyFill="1" applyBorder="1" applyAlignment="1" applyProtection="1">
      <alignment horizontal="center"/>
    </xf>
    <xf numFmtId="0" fontId="100" fillId="7" borderId="437" xfId="45" applyFont="1" applyFill="1" applyBorder="1" applyAlignment="1">
      <alignment horizontal="left" wrapText="1"/>
    </xf>
    <xf numFmtId="2" fontId="100" fillId="33" borderId="437" xfId="45" applyNumberFormat="1" applyFont="1" applyFill="1" applyBorder="1" applyAlignment="1" applyProtection="1">
      <alignment horizontal="center"/>
      <protection locked="0"/>
    </xf>
    <xf numFmtId="4" fontId="100" fillId="33" borderId="112" xfId="45" applyNumberFormat="1" applyFont="1" applyFill="1" applyBorder="1" applyAlignment="1" applyProtection="1">
      <alignment horizontal="center"/>
      <protection locked="0"/>
    </xf>
    <xf numFmtId="2" fontId="100" fillId="33" borderId="437" xfId="45" applyNumberFormat="1" applyFont="1" applyFill="1" applyBorder="1" applyAlignment="1">
      <alignment horizontal="center"/>
    </xf>
    <xf numFmtId="2" fontId="100" fillId="62" borderId="437" xfId="45" applyNumberFormat="1" applyFont="1" applyFill="1" applyBorder="1" applyAlignment="1">
      <alignment horizontal="center"/>
    </xf>
    <xf numFmtId="0" fontId="100" fillId="7" borderId="386" xfId="45" applyFont="1" applyFill="1" applyBorder="1" applyAlignment="1">
      <alignment horizontal="left" wrapText="1"/>
    </xf>
    <xf numFmtId="4" fontId="100" fillId="7" borderId="386" xfId="1" applyFont="1" applyFill="1" applyBorder="1" applyAlignment="1" applyProtection="1">
      <alignment horizontal="center"/>
    </xf>
    <xf numFmtId="0" fontId="100" fillId="30" borderId="386" xfId="45" applyFont="1" applyFill="1" applyBorder="1" applyAlignment="1">
      <alignment horizontal="left" wrapText="1"/>
    </xf>
    <xf numFmtId="4" fontId="100" fillId="30" borderId="386" xfId="1" applyFont="1" applyFill="1" applyBorder="1" applyAlignment="1" applyProtection="1">
      <alignment horizontal="center"/>
    </xf>
    <xf numFmtId="0" fontId="114" fillId="7" borderId="194" xfId="45" applyFont="1" applyFill="1" applyBorder="1"/>
    <xf numFmtId="0" fontId="114" fillId="7" borderId="144" xfId="0" applyFont="1" applyFill="1" applyBorder="1"/>
    <xf numFmtId="0" fontId="100" fillId="7" borderId="166" xfId="45" applyFont="1" applyFill="1" applyBorder="1" applyAlignment="1">
      <alignment horizontal="center"/>
    </xf>
    <xf numFmtId="0" fontId="100" fillId="0" borderId="0" xfId="45" applyFont="1" applyAlignment="1">
      <alignment horizontal="left"/>
    </xf>
    <xf numFmtId="0" fontId="114" fillId="7" borderId="113" xfId="45" applyFont="1" applyFill="1" applyBorder="1" applyAlignment="1">
      <alignment horizontal="center"/>
    </xf>
    <xf numFmtId="0" fontId="114" fillId="7" borderId="197" xfId="0" applyFont="1" applyFill="1" applyBorder="1"/>
    <xf numFmtId="0" fontId="155" fillId="10" borderId="140" xfId="0" applyFont="1" applyFill="1" applyBorder="1"/>
    <xf numFmtId="3" fontId="100" fillId="33" borderId="197" xfId="45" applyNumberFormat="1" applyFont="1" applyFill="1" applyBorder="1" applyAlignment="1" applyProtection="1">
      <alignment horizontal="center"/>
      <protection locked="0"/>
    </xf>
    <xf numFmtId="0" fontId="100" fillId="33" borderId="506" xfId="45" applyFont="1" applyFill="1" applyBorder="1" applyAlignment="1" applyProtection="1">
      <alignment horizontal="center"/>
      <protection locked="0"/>
    </xf>
    <xf numFmtId="3" fontId="100" fillId="48" borderId="197" xfId="45" applyNumberFormat="1" applyFont="1" applyFill="1" applyBorder="1" applyAlignment="1">
      <alignment horizontal="center"/>
    </xf>
    <xf numFmtId="0" fontId="100" fillId="48" borderId="197" xfId="45" applyFont="1" applyFill="1" applyBorder="1" applyAlignment="1">
      <alignment horizontal="center"/>
    </xf>
    <xf numFmtId="0" fontId="100" fillId="48" borderId="506" xfId="45" applyFont="1" applyFill="1" applyBorder="1" applyAlignment="1">
      <alignment horizontal="center"/>
    </xf>
    <xf numFmtId="2" fontId="100" fillId="33" borderId="197" xfId="45" applyNumberFormat="1" applyFont="1" applyFill="1" applyBorder="1" applyAlignment="1" applyProtection="1">
      <alignment horizontal="center"/>
      <protection locked="0"/>
    </xf>
    <xf numFmtId="2" fontId="100" fillId="33" borderId="506" xfId="45" applyNumberFormat="1" applyFont="1" applyFill="1" applyBorder="1" applyAlignment="1" applyProtection="1">
      <alignment horizontal="center"/>
      <protection locked="0"/>
    </xf>
    <xf numFmtId="2" fontId="100" fillId="33" borderId="459" xfId="45" applyNumberFormat="1" applyFont="1" applyFill="1" applyBorder="1" applyAlignment="1" applyProtection="1">
      <alignment horizontal="center"/>
      <protection locked="0"/>
    </xf>
    <xf numFmtId="4" fontId="100" fillId="7" borderId="197" xfId="45" applyNumberFormat="1" applyFont="1" applyFill="1" applyBorder="1" applyAlignment="1">
      <alignment horizontal="center"/>
    </xf>
    <xf numFmtId="3" fontId="100" fillId="33" borderId="392" xfId="45" applyNumberFormat="1" applyFont="1" applyFill="1" applyBorder="1" applyAlignment="1" applyProtection="1">
      <alignment horizontal="center"/>
      <protection locked="0"/>
    </xf>
    <xf numFmtId="3" fontId="100" fillId="33" borderId="506" xfId="45" applyNumberFormat="1" applyFont="1" applyFill="1" applyBorder="1" applyAlignment="1" applyProtection="1">
      <alignment horizontal="center"/>
      <protection locked="0"/>
    </xf>
    <xf numFmtId="0" fontId="100" fillId="33" borderId="572" xfId="45" applyFont="1" applyFill="1" applyBorder="1" applyAlignment="1" applyProtection="1">
      <alignment horizontal="center"/>
      <protection locked="0"/>
    </xf>
    <xf numFmtId="170" fontId="100" fillId="33" borderId="197" xfId="45" applyNumberFormat="1" applyFont="1" applyFill="1" applyBorder="1" applyAlignment="1" applyProtection="1">
      <alignment horizontal="center"/>
      <protection locked="0"/>
    </xf>
    <xf numFmtId="176" fontId="100" fillId="7" borderId="197" xfId="45" applyNumberFormat="1" applyFont="1" applyFill="1" applyBorder="1" applyAlignment="1">
      <alignment horizontal="center"/>
    </xf>
    <xf numFmtId="3" fontId="100" fillId="7" borderId="197" xfId="45" applyNumberFormat="1" applyFont="1" applyFill="1" applyBorder="1" applyAlignment="1">
      <alignment horizontal="center"/>
    </xf>
    <xf numFmtId="170" fontId="100" fillId="33" borderId="506" xfId="45" applyNumberFormat="1" applyFont="1" applyFill="1" applyBorder="1" applyAlignment="1" applyProtection="1">
      <alignment horizontal="center"/>
      <protection locked="0"/>
    </xf>
    <xf numFmtId="170" fontId="100" fillId="49" borderId="197" xfId="45" applyNumberFormat="1" applyFont="1" applyFill="1" applyBorder="1" applyAlignment="1">
      <alignment horizontal="center"/>
    </xf>
    <xf numFmtId="170" fontId="100" fillId="33" borderId="572" xfId="45" applyNumberFormat="1" applyFont="1" applyFill="1" applyBorder="1" applyAlignment="1" applyProtection="1">
      <alignment horizontal="center"/>
      <protection locked="0"/>
    </xf>
    <xf numFmtId="170" fontId="100" fillId="49" borderId="572" xfId="45" applyNumberFormat="1" applyFont="1" applyFill="1" applyBorder="1" applyAlignment="1">
      <alignment horizontal="center"/>
    </xf>
    <xf numFmtId="4" fontId="100" fillId="30" borderId="197" xfId="45" applyNumberFormat="1" applyFont="1" applyFill="1" applyBorder="1" applyAlignment="1">
      <alignment horizontal="center"/>
    </xf>
    <xf numFmtId="4" fontId="100" fillId="33" borderId="197" xfId="45" applyNumberFormat="1" applyFont="1" applyFill="1" applyBorder="1" applyAlignment="1" applyProtection="1">
      <alignment horizontal="center"/>
      <protection locked="0"/>
    </xf>
    <xf numFmtId="4" fontId="100" fillId="49" borderId="197" xfId="45" applyNumberFormat="1" applyFont="1" applyFill="1" applyBorder="1" applyAlignment="1">
      <alignment horizontal="center"/>
    </xf>
    <xf numFmtId="4" fontId="100" fillId="49" borderId="572" xfId="45" applyNumberFormat="1" applyFont="1" applyFill="1" applyBorder="1" applyAlignment="1">
      <alignment horizontal="center"/>
    </xf>
    <xf numFmtId="4" fontId="100" fillId="7" borderId="305" xfId="46" applyNumberFormat="1" applyFont="1" applyFill="1" applyBorder="1" applyAlignment="1"/>
    <xf numFmtId="3" fontId="155" fillId="10" borderId="167" xfId="45" applyNumberFormat="1" applyFont="1" applyFill="1" applyBorder="1" applyAlignment="1">
      <alignment horizontal="left"/>
    </xf>
    <xf numFmtId="4" fontId="114" fillId="30" borderId="112" xfId="46" applyNumberFormat="1" applyFont="1" applyFill="1" applyBorder="1" applyAlignment="1"/>
    <xf numFmtId="4" fontId="114" fillId="30" borderId="197" xfId="46" applyNumberFormat="1" applyFont="1" applyFill="1" applyBorder="1" applyAlignment="1"/>
    <xf numFmtId="4" fontId="114" fillId="30" borderId="120" xfId="46" applyNumberFormat="1" applyFont="1" applyFill="1" applyBorder="1" applyAlignment="1"/>
    <xf numFmtId="4" fontId="100" fillId="49" borderId="87" xfId="45" applyNumberFormat="1" applyFont="1" applyFill="1" applyBorder="1" applyAlignment="1">
      <alignment horizontal="center"/>
    </xf>
    <xf numFmtId="4" fontId="100" fillId="49" borderId="506" xfId="45" applyNumberFormat="1" applyFont="1" applyFill="1" applyBorder="1" applyAlignment="1">
      <alignment horizontal="center"/>
    </xf>
    <xf numFmtId="4" fontId="100" fillId="49" borderId="524" xfId="45" applyNumberFormat="1" applyFont="1" applyFill="1" applyBorder="1" applyAlignment="1">
      <alignment horizontal="center"/>
    </xf>
    <xf numFmtId="3" fontId="158" fillId="6" borderId="0" xfId="45" applyNumberFormat="1" applyFont="1" applyFill="1" applyAlignment="1">
      <alignment horizontal="left"/>
    </xf>
    <xf numFmtId="4" fontId="155" fillId="10" borderId="197" xfId="46" applyNumberFormat="1" applyFont="1" applyFill="1" applyBorder="1" applyAlignment="1"/>
    <xf numFmtId="3" fontId="155" fillId="10" borderId="248" xfId="45" applyNumberFormat="1" applyFont="1" applyFill="1" applyBorder="1" applyAlignment="1">
      <alignment horizontal="left"/>
    </xf>
    <xf numFmtId="4" fontId="155" fillId="10" borderId="247" xfId="46" applyNumberFormat="1" applyFont="1" applyFill="1" applyBorder="1" applyAlignment="1"/>
    <xf numFmtId="3" fontId="155" fillId="10" borderId="135" xfId="45" applyNumberFormat="1" applyFont="1" applyFill="1" applyBorder="1" applyAlignment="1">
      <alignment horizontal="left"/>
    </xf>
    <xf numFmtId="4" fontId="159" fillId="0" borderId="0" xfId="45" applyNumberFormat="1" applyFont="1" applyAlignment="1">
      <alignment horizontal="left"/>
    </xf>
    <xf numFmtId="0" fontId="155" fillId="9" borderId="323" xfId="21" applyFont="1" applyFill="1" applyBorder="1"/>
    <xf numFmtId="3" fontId="155" fillId="10" borderId="319" xfId="0" applyNumberFormat="1" applyFont="1" applyFill="1" applyBorder="1"/>
    <xf numFmtId="3" fontId="155" fillId="10" borderId="0" xfId="0" applyNumberFormat="1" applyFont="1" applyFill="1" applyAlignment="1">
      <alignment horizontal="left"/>
    </xf>
    <xf numFmtId="0" fontId="162" fillId="27" borderId="324" xfId="21" applyFont="1" applyFill="1" applyBorder="1"/>
    <xf numFmtId="4" fontId="100" fillId="33" borderId="437" xfId="45" applyNumberFormat="1" applyFont="1" applyFill="1" applyBorder="1" applyAlignment="1" applyProtection="1">
      <alignment horizontal="center"/>
      <protection locked="0"/>
    </xf>
    <xf numFmtId="4" fontId="100" fillId="33" borderId="546" xfId="45" applyNumberFormat="1" applyFont="1" applyFill="1" applyBorder="1" applyAlignment="1" applyProtection="1">
      <alignment horizontal="center"/>
      <protection locked="0"/>
    </xf>
    <xf numFmtId="4" fontId="100" fillId="62" borderId="437" xfId="45" applyNumberFormat="1" applyFont="1" applyFill="1" applyBorder="1" applyAlignment="1">
      <alignment horizontal="center"/>
    </xf>
    <xf numFmtId="4" fontId="100" fillId="62" borderId="392" xfId="45" applyNumberFormat="1" applyFont="1" applyFill="1" applyBorder="1" applyAlignment="1">
      <alignment horizontal="center"/>
    </xf>
    <xf numFmtId="4" fontId="100" fillId="33" borderId="392" xfId="45" applyNumberFormat="1" applyFont="1" applyFill="1" applyBorder="1" applyAlignment="1">
      <alignment horizontal="center"/>
    </xf>
    <xf numFmtId="0" fontId="114" fillId="0" borderId="0" xfId="21" applyFont="1" applyAlignment="1">
      <alignment horizontal="center"/>
    </xf>
    <xf numFmtId="0" fontId="78" fillId="41" borderId="0" xfId="45" applyFill="1" applyAlignment="1">
      <alignment horizontal="center"/>
    </xf>
    <xf numFmtId="0" fontId="154" fillId="33" borderId="197" xfId="45" applyFont="1" applyFill="1" applyBorder="1" applyAlignment="1" applyProtection="1">
      <alignment horizontal="center" wrapText="1"/>
      <protection locked="0"/>
    </xf>
    <xf numFmtId="170" fontId="100" fillId="62" borderId="572" xfId="45" applyNumberFormat="1" applyFont="1" applyFill="1" applyBorder="1" applyAlignment="1" applyProtection="1">
      <alignment horizontal="center"/>
      <protection locked="0"/>
    </xf>
    <xf numFmtId="4" fontId="100" fillId="7" borderId="572" xfId="46" applyNumberFormat="1" applyFont="1" applyFill="1" applyBorder="1" applyAlignment="1"/>
    <xf numFmtId="4" fontId="100" fillId="7" borderId="572" xfId="46" applyNumberFormat="1" applyFont="1" applyFill="1" applyBorder="1" applyAlignment="1">
      <alignment horizontal="right"/>
    </xf>
    <xf numFmtId="4" fontId="59" fillId="42" borderId="572" xfId="1" applyFill="1" applyBorder="1" applyProtection="1">
      <protection locked="0"/>
    </xf>
    <xf numFmtId="0" fontId="78" fillId="41" borderId="572" xfId="45" applyFill="1" applyBorder="1"/>
    <xf numFmtId="4" fontId="59" fillId="41" borderId="572" xfId="1" applyFill="1" applyBorder="1" applyProtection="1">
      <protection locked="0"/>
    </xf>
    <xf numFmtId="0" fontId="78" fillId="64" borderId="572" xfId="45" applyFill="1" applyBorder="1"/>
    <xf numFmtId="4" fontId="59" fillId="64" borderId="572" xfId="1" applyFill="1" applyBorder="1" applyProtection="1">
      <protection locked="0"/>
    </xf>
    <xf numFmtId="0" fontId="78" fillId="65" borderId="572" xfId="45" applyFill="1" applyBorder="1"/>
    <xf numFmtId="4" fontId="59" fillId="65" borderId="572" xfId="1" applyFill="1" applyBorder="1" applyProtection="1">
      <protection locked="0"/>
    </xf>
    <xf numFmtId="0" fontId="78" fillId="69" borderId="572" xfId="45" applyFill="1" applyBorder="1"/>
    <xf numFmtId="4" fontId="59" fillId="69" borderId="572" xfId="1" applyFill="1" applyBorder="1" applyProtection="1">
      <protection locked="0"/>
    </xf>
    <xf numFmtId="0" fontId="78" fillId="71" borderId="572" xfId="45" applyFill="1" applyBorder="1"/>
    <xf numFmtId="4" fontId="59" fillId="71" borderId="572" xfId="1" applyFill="1" applyBorder="1" applyProtection="1">
      <protection locked="0"/>
    </xf>
    <xf numFmtId="0" fontId="78" fillId="64" borderId="572" xfId="45" applyFill="1" applyBorder="1" applyAlignment="1">
      <alignment wrapText="1"/>
    </xf>
    <xf numFmtId="4" fontId="59" fillId="64" borderId="572" xfId="1" applyFill="1" applyBorder="1"/>
    <xf numFmtId="0" fontId="78" fillId="65" borderId="572" xfId="45" applyFill="1" applyBorder="1" applyAlignment="1">
      <alignment wrapText="1"/>
    </xf>
    <xf numFmtId="4" fontId="59" fillId="65" borderId="572" xfId="1" applyFill="1" applyBorder="1"/>
    <xf numFmtId="0" fontId="78" fillId="69" borderId="572" xfId="45" applyFill="1" applyBorder="1" applyAlignment="1">
      <alignment wrapText="1"/>
    </xf>
    <xf numFmtId="4" fontId="59" fillId="69" borderId="572" xfId="1" applyFill="1" applyBorder="1"/>
    <xf numFmtId="0" fontId="78" fillId="71" borderId="572" xfId="45" applyFill="1" applyBorder="1" applyAlignment="1">
      <alignment wrapText="1"/>
    </xf>
    <xf numFmtId="4" fontId="59" fillId="71" borderId="572" xfId="1" applyFill="1" applyBorder="1"/>
    <xf numFmtId="0" fontId="154" fillId="33" borderId="194" xfId="45" applyFont="1" applyFill="1" applyBorder="1" applyAlignment="1" applyProtection="1">
      <alignment horizontal="center"/>
      <protection locked="0"/>
    </xf>
    <xf numFmtId="0" fontId="154" fillId="33" borderId="145" xfId="45" applyFont="1" applyFill="1" applyBorder="1" applyAlignment="1" applyProtection="1">
      <alignment horizontal="center"/>
      <protection locked="0"/>
    </xf>
    <xf numFmtId="0" fontId="154" fillId="33" borderId="146" xfId="45" applyFont="1" applyFill="1" applyBorder="1" applyAlignment="1" applyProtection="1">
      <alignment horizontal="center"/>
      <protection locked="0"/>
    </xf>
    <xf numFmtId="0" fontId="154" fillId="33" borderId="130" xfId="45" applyFont="1" applyFill="1" applyBorder="1" applyAlignment="1" applyProtection="1">
      <alignment horizontal="center"/>
      <protection locked="0"/>
    </xf>
    <xf numFmtId="0" fontId="154" fillId="33" borderId="321" xfId="45" applyFont="1" applyFill="1" applyBorder="1" applyAlignment="1" applyProtection="1">
      <alignment horizontal="center"/>
      <protection locked="0"/>
    </xf>
    <xf numFmtId="0" fontId="100" fillId="33" borderId="439" xfId="45" applyFont="1" applyFill="1" applyBorder="1" applyAlignment="1" applyProtection="1">
      <alignment horizontal="center"/>
      <protection locked="0"/>
    </xf>
    <xf numFmtId="3" fontId="100" fillId="7" borderId="555" xfId="46" applyNumberFormat="1" applyFont="1" applyFill="1" applyBorder="1" applyAlignment="1">
      <alignment horizontal="right"/>
    </xf>
    <xf numFmtId="3" fontId="100" fillId="33" borderId="555" xfId="46" applyNumberFormat="1" applyFont="1" applyFill="1" applyBorder="1" applyAlignment="1" applyProtection="1">
      <protection locked="0"/>
    </xf>
    <xf numFmtId="3" fontId="100" fillId="45" borderId="555" xfId="46" applyNumberFormat="1" applyFont="1" applyFill="1" applyBorder="1" applyAlignment="1" applyProtection="1"/>
    <xf numFmtId="3" fontId="100" fillId="7" borderId="555" xfId="46" applyNumberFormat="1" applyFont="1" applyFill="1" applyBorder="1" applyAlignment="1"/>
    <xf numFmtId="3" fontId="100" fillId="46" borderId="555" xfId="46" applyNumberFormat="1" applyFont="1" applyFill="1" applyBorder="1" applyAlignment="1" applyProtection="1"/>
    <xf numFmtId="0" fontId="155" fillId="10" borderId="111" xfId="45" applyFont="1" applyFill="1" applyBorder="1"/>
    <xf numFmtId="0" fontId="155" fillId="10" borderId="0" xfId="45" applyFont="1" applyFill="1"/>
    <xf numFmtId="3" fontId="155" fillId="10" borderId="0" xfId="0" applyNumberFormat="1" applyFont="1" applyFill="1" applyAlignment="1">
      <alignment horizontal="right"/>
    </xf>
    <xf numFmtId="3" fontId="155" fillId="10" borderId="0" xfId="0" applyNumberFormat="1" applyFont="1" applyFill="1"/>
    <xf numFmtId="0" fontId="100" fillId="0" borderId="0" xfId="45" applyFont="1" applyAlignment="1">
      <alignment horizontal="center"/>
    </xf>
    <xf numFmtId="0" fontId="100" fillId="0" borderId="111" xfId="45" applyFont="1" applyBorder="1"/>
    <xf numFmtId="0" fontId="100" fillId="7" borderId="39" xfId="0" applyFont="1" applyFill="1" applyBorder="1"/>
    <xf numFmtId="3" fontId="156" fillId="33" borderId="370" xfId="0" applyNumberFormat="1" applyFont="1" applyFill="1" applyBorder="1" applyProtection="1">
      <protection locked="0"/>
    </xf>
    <xf numFmtId="0" fontId="100" fillId="7" borderId="23" xfId="0" applyFont="1" applyFill="1" applyBorder="1"/>
    <xf numFmtId="3" fontId="100" fillId="7" borderId="24" xfId="0" applyNumberFormat="1" applyFont="1" applyFill="1" applyBorder="1"/>
    <xf numFmtId="3" fontId="100" fillId="7" borderId="57" xfId="0" applyNumberFormat="1" applyFont="1" applyFill="1" applyBorder="1"/>
    <xf numFmtId="0" fontId="100" fillId="10" borderId="0" xfId="45" applyFont="1" applyFill="1" applyAlignment="1">
      <alignment horizontal="center"/>
    </xf>
    <xf numFmtId="3" fontId="155" fillId="10" borderId="371" xfId="0" applyNumberFormat="1" applyFont="1" applyFill="1" applyBorder="1"/>
    <xf numFmtId="3" fontId="155" fillId="10" borderId="369" xfId="0" applyNumberFormat="1" applyFont="1" applyFill="1" applyBorder="1"/>
    <xf numFmtId="3" fontId="155" fillId="10" borderId="65" xfId="0" applyNumberFormat="1" applyFont="1" applyFill="1" applyBorder="1"/>
    <xf numFmtId="3" fontId="155" fillId="10" borderId="147" xfId="0" applyNumberFormat="1" applyFont="1" applyFill="1" applyBorder="1"/>
    <xf numFmtId="3" fontId="155" fillId="10" borderId="148" xfId="0" applyNumberFormat="1" applyFont="1" applyFill="1" applyBorder="1"/>
    <xf numFmtId="0" fontId="100" fillId="7" borderId="0" xfId="45" applyFont="1" applyFill="1" applyAlignment="1">
      <alignment horizontal="center"/>
    </xf>
    <xf numFmtId="0" fontId="155" fillId="10" borderId="0" xfId="45" applyFont="1" applyFill="1" applyAlignment="1">
      <alignment horizontal="center"/>
    </xf>
    <xf numFmtId="0" fontId="100" fillId="6" borderId="0" xfId="45" applyFont="1" applyFill="1" applyAlignment="1">
      <alignment horizontal="center"/>
    </xf>
    <xf numFmtId="0" fontId="100" fillId="6" borderId="0" xfId="45" applyFont="1" applyFill="1"/>
    <xf numFmtId="0" fontId="100" fillId="6" borderId="111" xfId="45" applyFont="1" applyFill="1" applyBorder="1"/>
    <xf numFmtId="4" fontId="100" fillId="62" borderId="386" xfId="1" applyFont="1" applyFill="1" applyBorder="1" applyAlignment="1" applyProtection="1">
      <alignment horizontal="center"/>
    </xf>
    <xf numFmtId="0" fontId="100" fillId="7" borderId="435" xfId="45" applyFont="1" applyFill="1" applyBorder="1" applyAlignment="1">
      <alignment horizontal="left" wrapText="1"/>
    </xf>
    <xf numFmtId="0" fontId="100" fillId="30" borderId="392" xfId="45" applyFont="1" applyFill="1" applyBorder="1" applyAlignment="1">
      <alignment horizontal="left" wrapText="1"/>
    </xf>
    <xf numFmtId="4" fontId="100" fillId="30" borderId="392" xfId="1" applyFont="1" applyFill="1" applyBorder="1" applyAlignment="1" applyProtection="1">
      <alignment horizontal="center"/>
    </xf>
    <xf numFmtId="4" fontId="158" fillId="10" borderId="393" xfId="1" applyFont="1" applyFill="1" applyBorder="1" applyAlignment="1" applyProtection="1"/>
    <xf numFmtId="4" fontId="155" fillId="10" borderId="0" xfId="1" applyFont="1" applyFill="1" applyBorder="1" applyAlignment="1" applyProtection="1">
      <alignment horizontal="center"/>
    </xf>
    <xf numFmtId="4" fontId="158" fillId="30" borderId="393" xfId="1" applyFont="1" applyFill="1" applyBorder="1" applyAlignment="1" applyProtection="1"/>
    <xf numFmtId="4" fontId="100" fillId="10" borderId="0" xfId="1" applyFont="1" applyFill="1" applyBorder="1" applyAlignment="1" applyProtection="1">
      <alignment horizontal="center"/>
    </xf>
    <xf numFmtId="4" fontId="158" fillId="30" borderId="0" xfId="1" applyFont="1" applyFill="1" applyBorder="1" applyAlignment="1" applyProtection="1">
      <alignment horizontal="center"/>
    </xf>
    <xf numFmtId="4" fontId="158" fillId="10" borderId="392" xfId="1" applyFont="1" applyFill="1" applyBorder="1" applyAlignment="1" applyProtection="1"/>
    <xf numFmtId="4" fontId="158" fillId="30" borderId="392" xfId="1" applyFont="1" applyFill="1" applyBorder="1" applyAlignment="1" applyProtection="1"/>
    <xf numFmtId="0" fontId="168" fillId="10" borderId="0" xfId="45" applyFont="1" applyFill="1"/>
    <xf numFmtId="0" fontId="155" fillId="10" borderId="443" xfId="45" applyFont="1" applyFill="1" applyBorder="1"/>
    <xf numFmtId="0" fontId="155" fillId="10" borderId="140" xfId="45" applyFont="1" applyFill="1" applyBorder="1"/>
    <xf numFmtId="0" fontId="155" fillId="10" borderId="138" xfId="45" applyFont="1" applyFill="1" applyBorder="1"/>
    <xf numFmtId="0" fontId="155" fillId="10" borderId="139" xfId="45" applyFont="1" applyFill="1" applyBorder="1"/>
    <xf numFmtId="0" fontId="169" fillId="32" borderId="267" xfId="0" applyFont="1" applyFill="1" applyBorder="1"/>
    <xf numFmtId="0" fontId="155" fillId="10" borderId="372" xfId="45" applyFont="1" applyFill="1" applyBorder="1"/>
    <xf numFmtId="0" fontId="155" fillId="10" borderId="367" xfId="45" applyFont="1" applyFill="1" applyBorder="1"/>
    <xf numFmtId="0" fontId="155" fillId="10" borderId="278" xfId="45" applyFont="1" applyFill="1" applyBorder="1"/>
    <xf numFmtId="1" fontId="155" fillId="10" borderId="278" xfId="45" applyNumberFormat="1" applyFont="1" applyFill="1" applyBorder="1"/>
    <xf numFmtId="0" fontId="155" fillId="10" borderId="284" xfId="45" applyFont="1" applyFill="1" applyBorder="1"/>
    <xf numFmtId="0" fontId="155" fillId="10" borderId="282" xfId="45" applyFont="1" applyFill="1" applyBorder="1"/>
    <xf numFmtId="0" fontId="155" fillId="10" borderId="280" xfId="45" applyFont="1" applyFill="1" applyBorder="1"/>
    <xf numFmtId="0" fontId="155" fillId="10" borderId="328" xfId="45" applyFont="1" applyFill="1" applyBorder="1"/>
    <xf numFmtId="0" fontId="155" fillId="10" borderId="327" xfId="45" applyFont="1" applyFill="1" applyBorder="1"/>
    <xf numFmtId="0" fontId="155" fillId="10" borderId="283" xfId="45" applyFont="1" applyFill="1" applyBorder="1"/>
    <xf numFmtId="3" fontId="155" fillId="10" borderId="142" xfId="0" applyNumberFormat="1" applyFont="1" applyFill="1" applyBorder="1"/>
    <xf numFmtId="3" fontId="155" fillId="10" borderId="373" xfId="0" applyNumberFormat="1" applyFont="1" applyFill="1" applyBorder="1"/>
    <xf numFmtId="3" fontId="155" fillId="10" borderId="368" xfId="0" applyNumberFormat="1" applyFont="1" applyFill="1" applyBorder="1"/>
    <xf numFmtId="3" fontId="155" fillId="10" borderId="279" xfId="0" applyNumberFormat="1" applyFont="1" applyFill="1" applyBorder="1"/>
    <xf numFmtId="3" fontId="155" fillId="10" borderId="284" xfId="0" applyNumberFormat="1" applyFont="1" applyFill="1" applyBorder="1"/>
    <xf numFmtId="3" fontId="155" fillId="10" borderId="282" xfId="0" applyNumberFormat="1" applyFont="1" applyFill="1" applyBorder="1"/>
    <xf numFmtId="3" fontId="155" fillId="10" borderId="281" xfId="0" applyNumberFormat="1" applyFont="1" applyFill="1" applyBorder="1"/>
    <xf numFmtId="3" fontId="155" fillId="10" borderId="283" xfId="0" applyNumberFormat="1" applyFont="1" applyFill="1" applyBorder="1"/>
    <xf numFmtId="0" fontId="155" fillId="10" borderId="374" xfId="45" applyFont="1" applyFill="1" applyBorder="1"/>
    <xf numFmtId="0" fontId="155" fillId="10" borderId="150" xfId="45" applyFont="1" applyFill="1" applyBorder="1"/>
    <xf numFmtId="0" fontId="155" fillId="10" borderId="151" xfId="45" applyFont="1" applyFill="1" applyBorder="1"/>
    <xf numFmtId="0" fontId="155" fillId="10" borderId="142" xfId="45" applyFont="1" applyFill="1" applyBorder="1"/>
    <xf numFmtId="0" fontId="169" fillId="32" borderId="268" xfId="0" applyFont="1" applyFill="1" applyBorder="1"/>
    <xf numFmtId="0" fontId="100" fillId="7" borderId="0" xfId="45" applyFont="1" applyFill="1"/>
    <xf numFmtId="0" fontId="100" fillId="7" borderId="111" xfId="45" applyFont="1" applyFill="1" applyBorder="1"/>
    <xf numFmtId="0" fontId="100" fillId="7" borderId="140" xfId="45" applyFont="1" applyFill="1" applyBorder="1"/>
    <xf numFmtId="0" fontId="100" fillId="31" borderId="0" xfId="0" applyFont="1" applyFill="1"/>
    <xf numFmtId="0" fontId="100" fillId="33" borderId="131" xfId="45" applyFont="1" applyFill="1" applyBorder="1" applyAlignment="1" applyProtection="1">
      <alignment horizontal="center"/>
      <protection locked="0"/>
    </xf>
    <xf numFmtId="0" fontId="100" fillId="33" borderId="128" xfId="45" applyFont="1" applyFill="1" applyBorder="1" applyAlignment="1" applyProtection="1">
      <alignment horizontal="center"/>
      <protection locked="0"/>
    </xf>
    <xf numFmtId="0" fontId="100" fillId="33" borderId="492" xfId="45" applyFont="1" applyFill="1" applyBorder="1" applyAlignment="1" applyProtection="1">
      <alignment horizontal="center"/>
      <protection locked="0"/>
    </xf>
    <xf numFmtId="0" fontId="100" fillId="47" borderId="555" xfId="45" applyFont="1" applyFill="1" applyBorder="1" applyAlignment="1">
      <alignment horizontal="center"/>
    </xf>
    <xf numFmtId="0" fontId="100" fillId="45" borderId="134" xfId="45" applyFont="1" applyFill="1" applyBorder="1" applyAlignment="1">
      <alignment horizontal="center"/>
    </xf>
    <xf numFmtId="0" fontId="100" fillId="45" borderId="129" xfId="45" applyFont="1" applyFill="1" applyBorder="1" applyAlignment="1">
      <alignment horizontal="center"/>
    </xf>
    <xf numFmtId="0" fontId="100" fillId="45" borderId="112" xfId="45" applyFont="1" applyFill="1" applyBorder="1" applyAlignment="1">
      <alignment horizontal="center"/>
    </xf>
    <xf numFmtId="0" fontId="100" fillId="45" borderId="78" xfId="45" applyFont="1" applyFill="1" applyBorder="1" applyAlignment="1">
      <alignment horizontal="center"/>
    </xf>
    <xf numFmtId="0" fontId="100" fillId="45" borderId="439" xfId="45" applyFont="1" applyFill="1" applyBorder="1" applyAlignment="1">
      <alignment horizontal="center"/>
    </xf>
    <xf numFmtId="0" fontId="100" fillId="51" borderId="555" xfId="0" applyFont="1" applyFill="1" applyBorder="1" applyAlignment="1" applyProtection="1">
      <alignment horizontal="center"/>
      <protection locked="0"/>
    </xf>
    <xf numFmtId="0" fontId="100" fillId="33" borderId="555" xfId="45" applyFont="1" applyFill="1" applyBorder="1" applyAlignment="1" applyProtection="1">
      <alignment horizontal="center"/>
      <protection locked="0"/>
    </xf>
    <xf numFmtId="0" fontId="100" fillId="51" borderId="439" xfId="0" applyFont="1" applyFill="1" applyBorder="1" applyAlignment="1" applyProtection="1">
      <alignment horizontal="center"/>
      <protection locked="0"/>
    </xf>
    <xf numFmtId="0" fontId="100" fillId="51" borderId="553" xfId="0" applyFont="1" applyFill="1" applyBorder="1" applyAlignment="1" applyProtection="1">
      <alignment horizontal="center"/>
      <protection locked="0"/>
    </xf>
    <xf numFmtId="0" fontId="100" fillId="33" borderId="553" xfId="45" applyFont="1" applyFill="1" applyBorder="1" applyAlignment="1" applyProtection="1">
      <alignment horizontal="center"/>
      <protection locked="0"/>
    </xf>
    <xf numFmtId="0" fontId="100" fillId="33" borderId="134" xfId="45" applyFont="1" applyFill="1" applyBorder="1" applyAlignment="1" applyProtection="1">
      <alignment horizontal="center"/>
      <protection locked="0"/>
    </xf>
    <xf numFmtId="0" fontId="100" fillId="33" borderId="129" xfId="45" applyFont="1" applyFill="1" applyBorder="1" applyAlignment="1" applyProtection="1">
      <alignment horizontal="center"/>
      <protection locked="0"/>
    </xf>
    <xf numFmtId="0" fontId="100" fillId="33" borderId="163" xfId="45" applyFont="1" applyFill="1" applyBorder="1" applyAlignment="1" applyProtection="1">
      <alignment horizontal="center"/>
      <protection locked="0"/>
    </xf>
    <xf numFmtId="0" fontId="100" fillId="33" borderId="375" xfId="45" applyFont="1" applyFill="1" applyBorder="1" applyAlignment="1" applyProtection="1">
      <alignment horizontal="center"/>
      <protection locked="0"/>
    </xf>
    <xf numFmtId="0" fontId="100" fillId="33" borderId="111" xfId="45" applyFont="1" applyFill="1" applyBorder="1" applyAlignment="1" applyProtection="1">
      <alignment horizontal="center"/>
      <protection locked="0"/>
    </xf>
    <xf numFmtId="0" fontId="100" fillId="33" borderId="0" xfId="45" applyFont="1" applyFill="1" applyAlignment="1" applyProtection="1">
      <alignment horizontal="center"/>
      <protection locked="0"/>
    </xf>
    <xf numFmtId="0" fontId="100" fillId="33" borderId="177" xfId="45" applyFont="1" applyFill="1" applyBorder="1" applyAlignment="1" applyProtection="1">
      <alignment horizontal="center"/>
      <protection locked="0"/>
    </xf>
    <xf numFmtId="0" fontId="100" fillId="33" borderId="74" xfId="45" applyFont="1" applyFill="1" applyBorder="1" applyAlignment="1" applyProtection="1">
      <alignment horizontal="center"/>
      <protection locked="0"/>
    </xf>
    <xf numFmtId="0" fontId="100" fillId="33" borderId="551" xfId="45" applyFont="1" applyFill="1" applyBorder="1" applyAlignment="1" applyProtection="1">
      <alignment horizontal="center"/>
      <protection locked="0"/>
    </xf>
    <xf numFmtId="0" fontId="100" fillId="33" borderId="92" xfId="45" applyFont="1" applyFill="1" applyBorder="1" applyAlignment="1" applyProtection="1">
      <alignment horizontal="center"/>
      <protection locked="0"/>
    </xf>
    <xf numFmtId="0" fontId="100" fillId="33" borderId="97" xfId="45" applyFont="1" applyFill="1" applyBorder="1" applyAlignment="1" applyProtection="1">
      <alignment horizontal="center"/>
      <protection locked="0"/>
    </xf>
    <xf numFmtId="0" fontId="100" fillId="33" borderId="481" xfId="45" applyFont="1" applyFill="1" applyBorder="1" applyAlignment="1" applyProtection="1">
      <alignment horizontal="center"/>
      <protection locked="0"/>
    </xf>
    <xf numFmtId="0" fontId="100" fillId="51" borderId="411" xfId="0" applyFont="1" applyFill="1" applyBorder="1" applyAlignment="1" applyProtection="1">
      <alignment horizontal="center"/>
      <protection locked="0"/>
    </xf>
    <xf numFmtId="0" fontId="100" fillId="51" borderId="361" xfId="0" applyFont="1" applyFill="1" applyBorder="1" applyAlignment="1" applyProtection="1">
      <alignment horizontal="center"/>
      <protection locked="0"/>
    </xf>
    <xf numFmtId="0" fontId="100" fillId="51" borderId="557" xfId="0" applyFont="1" applyFill="1" applyBorder="1" applyAlignment="1" applyProtection="1">
      <alignment horizontal="center"/>
      <protection locked="0"/>
    </xf>
    <xf numFmtId="0" fontId="100" fillId="51" borderId="554" xfId="0" applyFont="1" applyFill="1" applyBorder="1" applyAlignment="1" applyProtection="1">
      <alignment horizontal="center"/>
      <protection locked="0"/>
    </xf>
    <xf numFmtId="0" fontId="100" fillId="33" borderId="562" xfId="45" applyFont="1" applyFill="1" applyBorder="1" applyAlignment="1" applyProtection="1">
      <alignment horizontal="center"/>
      <protection locked="0"/>
    </xf>
    <xf numFmtId="0" fontId="100" fillId="33" borderId="557" xfId="45" applyFont="1" applyFill="1" applyBorder="1" applyAlignment="1" applyProtection="1">
      <alignment horizontal="center"/>
      <protection locked="0"/>
    </xf>
    <xf numFmtId="0" fontId="100" fillId="33" borderId="554" xfId="45" applyFont="1" applyFill="1" applyBorder="1" applyAlignment="1" applyProtection="1">
      <alignment horizontal="center"/>
      <protection locked="0"/>
    </xf>
    <xf numFmtId="176" fontId="100" fillId="7" borderId="555" xfId="45" applyNumberFormat="1" applyFont="1" applyFill="1" applyBorder="1" applyAlignment="1">
      <alignment horizontal="center"/>
    </xf>
    <xf numFmtId="0" fontId="100" fillId="7" borderId="555" xfId="45" applyFont="1" applyFill="1" applyBorder="1" applyAlignment="1">
      <alignment horizontal="center"/>
    </xf>
    <xf numFmtId="170" fontId="100" fillId="45" borderId="555" xfId="45" applyNumberFormat="1" applyFont="1" applyFill="1" applyBorder="1" applyAlignment="1">
      <alignment horizontal="center"/>
    </xf>
    <xf numFmtId="170" fontId="100" fillId="62" borderId="555" xfId="45" applyNumberFormat="1" applyFont="1" applyFill="1" applyBorder="1" applyAlignment="1" applyProtection="1">
      <alignment horizontal="center"/>
      <protection locked="0"/>
    </xf>
    <xf numFmtId="3" fontId="100" fillId="45" borderId="555" xfId="46" applyNumberFormat="1" applyFont="1" applyFill="1" applyBorder="1" applyAlignment="1" applyProtection="1">
      <alignment horizontal="right"/>
    </xf>
    <xf numFmtId="3" fontId="100" fillId="73" borderId="555" xfId="46" applyNumberFormat="1" applyFont="1" applyFill="1" applyBorder="1" applyAlignment="1" applyProtection="1">
      <alignment horizontal="right"/>
    </xf>
    <xf numFmtId="3" fontId="100" fillId="73" borderId="572" xfId="46" applyNumberFormat="1" applyFont="1" applyFill="1" applyBorder="1" applyAlignment="1" applyProtection="1">
      <alignment horizontal="right"/>
    </xf>
    <xf numFmtId="3" fontId="100" fillId="73" borderId="574" xfId="46" applyNumberFormat="1" applyFont="1" applyFill="1" applyBorder="1" applyAlignment="1" applyProtection="1">
      <alignment horizontal="right"/>
    </xf>
    <xf numFmtId="3" fontId="114" fillId="7" borderId="555" xfId="46" applyNumberFormat="1" applyFont="1" applyFill="1" applyBorder="1" applyAlignment="1">
      <alignment horizontal="right"/>
    </xf>
    <xf numFmtId="3" fontId="114" fillId="7" borderId="574" xfId="46" applyNumberFormat="1" applyFont="1" applyFill="1" applyBorder="1" applyAlignment="1">
      <alignment horizontal="right"/>
    </xf>
    <xf numFmtId="0" fontId="155" fillId="10" borderId="44" xfId="0" applyFont="1" applyFill="1" applyBorder="1"/>
    <xf numFmtId="0" fontId="161" fillId="7" borderId="0" xfId="0" applyFont="1" applyFill="1"/>
    <xf numFmtId="4" fontId="155" fillId="10" borderId="362" xfId="46" applyNumberFormat="1" applyFont="1" applyFill="1" applyBorder="1" applyAlignment="1"/>
    <xf numFmtId="4" fontId="155" fillId="10" borderId="0" xfId="46" applyNumberFormat="1" applyFont="1" applyFill="1" applyBorder="1" applyAlignment="1"/>
    <xf numFmtId="2" fontId="155" fillId="10" borderId="0" xfId="0" applyNumberFormat="1" applyFont="1" applyFill="1"/>
    <xf numFmtId="4" fontId="155" fillId="10" borderId="217" xfId="46" applyNumberFormat="1" applyFont="1" applyFill="1" applyBorder="1" applyAlignment="1"/>
    <xf numFmtId="4" fontId="155" fillId="10" borderId="142" xfId="46" applyNumberFormat="1" applyFont="1" applyFill="1" applyBorder="1" applyAlignment="1"/>
    <xf numFmtId="2" fontId="155" fillId="10" borderId="142" xfId="0" applyNumberFormat="1" applyFont="1" applyFill="1" applyBorder="1"/>
    <xf numFmtId="4" fontId="100" fillId="33" borderId="437" xfId="45" applyNumberFormat="1" applyFont="1" applyFill="1" applyBorder="1" applyAlignment="1">
      <alignment horizontal="center"/>
    </xf>
    <xf numFmtId="0" fontId="113" fillId="0" borderId="0" xfId="45" applyFont="1"/>
    <xf numFmtId="0" fontId="79" fillId="0" borderId="0" xfId="45" applyFont="1"/>
    <xf numFmtId="0" fontId="100" fillId="7" borderId="556" xfId="45" applyFont="1" applyFill="1" applyBorder="1" applyAlignment="1">
      <alignment horizontal="center"/>
    </xf>
    <xf numFmtId="0" fontId="100" fillId="7" borderId="143" xfId="45" applyFont="1" applyFill="1" applyBorder="1" applyAlignment="1">
      <alignment horizontal="center"/>
    </xf>
    <xf numFmtId="0" fontId="100" fillId="7" borderId="585" xfId="45" applyFont="1" applyFill="1" applyBorder="1" applyAlignment="1">
      <alignment horizontal="center"/>
    </xf>
    <xf numFmtId="0" fontId="100" fillId="7" borderId="578" xfId="45" applyFont="1" applyFill="1" applyBorder="1" applyAlignment="1">
      <alignment horizontal="center"/>
    </xf>
    <xf numFmtId="0" fontId="100" fillId="7" borderId="586" xfId="45" applyFont="1" applyFill="1" applyBorder="1" applyAlignment="1">
      <alignment horizontal="center"/>
    </xf>
    <xf numFmtId="0" fontId="100" fillId="7" borderId="231" xfId="45" applyFont="1" applyFill="1" applyBorder="1" applyAlignment="1">
      <alignment horizontal="center"/>
    </xf>
    <xf numFmtId="0" fontId="100" fillId="7" borderId="167" xfId="45" applyFont="1" applyFill="1" applyBorder="1" applyAlignment="1">
      <alignment horizontal="center"/>
    </xf>
    <xf numFmtId="0" fontId="100" fillId="33" borderId="587" xfId="45" applyFont="1" applyFill="1" applyBorder="1" applyAlignment="1" applyProtection="1">
      <alignment horizontal="center"/>
      <protection locked="0"/>
    </xf>
    <xf numFmtId="0" fontId="100" fillId="33" borderId="588" xfId="45" applyFont="1" applyFill="1" applyBorder="1" applyAlignment="1" applyProtection="1">
      <alignment horizontal="center"/>
      <protection locked="0"/>
    </xf>
    <xf numFmtId="0" fontId="100" fillId="33" borderId="589" xfId="45" applyFont="1" applyFill="1" applyBorder="1" applyAlignment="1" applyProtection="1">
      <alignment horizontal="center"/>
      <protection locked="0"/>
    </xf>
    <xf numFmtId="0" fontId="100" fillId="33" borderId="574" xfId="45" applyFont="1" applyFill="1" applyBorder="1" applyAlignment="1" applyProtection="1">
      <alignment horizontal="center"/>
      <protection locked="0"/>
    </xf>
    <xf numFmtId="0" fontId="100" fillId="51" borderId="572" xfId="0" applyFont="1" applyFill="1" applyBorder="1" applyAlignment="1" applyProtection="1">
      <alignment horizontal="center"/>
      <protection locked="0"/>
    </xf>
    <xf numFmtId="176" fontId="100" fillId="7" borderId="572" xfId="45" applyNumberFormat="1" applyFont="1" applyFill="1" applyBorder="1" applyAlignment="1">
      <alignment horizontal="center"/>
    </xf>
    <xf numFmtId="176" fontId="100" fillId="7" borderId="574" xfId="45" applyNumberFormat="1" applyFont="1" applyFill="1" applyBorder="1" applyAlignment="1">
      <alignment horizontal="center"/>
    </xf>
    <xf numFmtId="0" fontId="100" fillId="7" borderId="572" xfId="45" applyFont="1" applyFill="1" applyBorder="1" applyAlignment="1">
      <alignment horizontal="center"/>
    </xf>
    <xf numFmtId="0" fontId="100" fillId="7" borderId="574" xfId="45" applyFont="1" applyFill="1" applyBorder="1" applyAlignment="1">
      <alignment horizontal="center"/>
    </xf>
    <xf numFmtId="170" fontId="100" fillId="33" borderId="555" xfId="45" applyNumberFormat="1" applyFont="1" applyFill="1" applyBorder="1" applyAlignment="1" applyProtection="1">
      <alignment horizontal="center"/>
      <protection locked="0"/>
    </xf>
    <xf numFmtId="170" fontId="100" fillId="45" borderId="574" xfId="45" applyNumberFormat="1" applyFont="1" applyFill="1" applyBorder="1" applyAlignment="1">
      <alignment horizontal="center"/>
    </xf>
    <xf numFmtId="3" fontId="100" fillId="7" borderId="572" xfId="46" applyNumberFormat="1" applyFont="1" applyFill="1" applyBorder="1" applyAlignment="1">
      <alignment horizontal="right"/>
    </xf>
    <xf numFmtId="3" fontId="100" fillId="7" borderId="574" xfId="46" applyNumberFormat="1" applyFont="1" applyFill="1" applyBorder="1" applyAlignment="1">
      <alignment horizontal="right"/>
    </xf>
    <xf numFmtId="3" fontId="100" fillId="45" borderId="572" xfId="46" applyNumberFormat="1" applyFont="1" applyFill="1" applyBorder="1" applyAlignment="1" applyProtection="1">
      <alignment horizontal="right"/>
    </xf>
    <xf numFmtId="3" fontId="100" fillId="45" borderId="574" xfId="46" applyNumberFormat="1" applyFont="1" applyFill="1" applyBorder="1" applyAlignment="1" applyProtection="1">
      <alignment horizontal="right"/>
    </xf>
    <xf numFmtId="3" fontId="100" fillId="61" borderId="555" xfId="46" applyNumberFormat="1" applyFont="1" applyFill="1" applyBorder="1" applyAlignment="1">
      <alignment horizontal="right"/>
    </xf>
    <xf numFmtId="3" fontId="100" fillId="61" borderId="572" xfId="46" applyNumberFormat="1" applyFont="1" applyFill="1" applyBorder="1" applyAlignment="1">
      <alignment horizontal="right"/>
    </xf>
    <xf numFmtId="3" fontId="100" fillId="33" borderId="572" xfId="46" applyNumberFormat="1" applyFont="1" applyFill="1" applyBorder="1" applyAlignment="1" applyProtection="1">
      <protection locked="0"/>
    </xf>
    <xf numFmtId="3" fontId="100" fillId="45" borderId="574" xfId="46" applyNumberFormat="1" applyFont="1" applyFill="1" applyBorder="1" applyAlignment="1" applyProtection="1"/>
    <xf numFmtId="3" fontId="100" fillId="51" borderId="572" xfId="0" applyNumberFormat="1" applyFont="1" applyFill="1" applyBorder="1" applyProtection="1">
      <protection locked="0"/>
    </xf>
    <xf numFmtId="3" fontId="100" fillId="33" borderId="574" xfId="46" applyNumberFormat="1" applyFont="1" applyFill="1" applyBorder="1" applyAlignment="1" applyProtection="1">
      <protection locked="0"/>
    </xf>
    <xf numFmtId="3" fontId="100" fillId="7" borderId="572" xfId="46" applyNumberFormat="1" applyFont="1" applyFill="1" applyBorder="1" applyAlignment="1"/>
    <xf numFmtId="3" fontId="100" fillId="7" borderId="574" xfId="46" applyNumberFormat="1" applyFont="1" applyFill="1" applyBorder="1" applyAlignment="1"/>
    <xf numFmtId="3" fontId="100" fillId="46" borderId="574" xfId="46" applyNumberFormat="1" applyFont="1" applyFill="1" applyBorder="1" applyAlignment="1" applyProtection="1">
      <protection locked="0"/>
    </xf>
    <xf numFmtId="3" fontId="100" fillId="7" borderId="555" xfId="46" applyNumberFormat="1" applyFont="1" applyFill="1" applyBorder="1" applyAlignment="1" applyProtection="1"/>
    <xf numFmtId="3" fontId="100" fillId="7" borderId="572" xfId="46" applyNumberFormat="1" applyFont="1" applyFill="1" applyBorder="1" applyAlignment="1" applyProtection="1"/>
    <xf numFmtId="3" fontId="100" fillId="46" borderId="574" xfId="46" applyNumberFormat="1" applyFont="1" applyFill="1" applyBorder="1" applyAlignment="1" applyProtection="1"/>
    <xf numFmtId="0" fontId="100" fillId="33" borderId="591" xfId="45" applyFont="1" applyFill="1" applyBorder="1" applyAlignment="1" applyProtection="1">
      <alignment horizontal="center"/>
      <protection locked="0"/>
    </xf>
    <xf numFmtId="0" fontId="100" fillId="33" borderId="571" xfId="45" applyFont="1" applyFill="1" applyBorder="1" applyAlignment="1" applyProtection="1">
      <alignment horizontal="center"/>
      <protection locked="0"/>
    </xf>
    <xf numFmtId="176" fontId="100" fillId="7" borderId="571" xfId="45" applyNumberFormat="1" applyFont="1" applyFill="1" applyBorder="1" applyAlignment="1">
      <alignment horizontal="center"/>
    </xf>
    <xf numFmtId="0" fontId="100" fillId="7" borderId="571" xfId="45" applyFont="1" applyFill="1" applyBorder="1" applyAlignment="1">
      <alignment horizontal="center"/>
    </xf>
    <xf numFmtId="170" fontId="100" fillId="62" borderId="571" xfId="45" applyNumberFormat="1" applyFont="1" applyFill="1" applyBorder="1" applyAlignment="1" applyProtection="1">
      <alignment horizontal="center"/>
      <protection locked="0"/>
    </xf>
    <xf numFmtId="3" fontId="100" fillId="7" borderId="571" xfId="46" applyNumberFormat="1" applyFont="1" applyFill="1" applyBorder="1" applyAlignment="1">
      <alignment horizontal="right"/>
    </xf>
    <xf numFmtId="3" fontId="100" fillId="33" borderId="571" xfId="46" applyNumberFormat="1" applyFont="1" applyFill="1" applyBorder="1" applyAlignment="1" applyProtection="1">
      <protection locked="0"/>
    </xf>
    <xf numFmtId="3" fontId="100" fillId="7" borderId="571" xfId="46" applyNumberFormat="1" applyFont="1" applyFill="1" applyBorder="1" applyAlignment="1" applyProtection="1"/>
    <xf numFmtId="170" fontId="100" fillId="33" borderId="574" xfId="45" applyNumberFormat="1" applyFont="1" applyFill="1" applyBorder="1" applyAlignment="1" applyProtection="1">
      <alignment horizontal="center"/>
      <protection locked="0"/>
    </xf>
    <xf numFmtId="170" fontId="100" fillId="62" borderId="574" xfId="45" applyNumberFormat="1" applyFont="1" applyFill="1" applyBorder="1" applyAlignment="1" applyProtection="1">
      <alignment horizontal="center"/>
      <protection locked="0"/>
    </xf>
    <xf numFmtId="3" fontId="100" fillId="61" borderId="574" xfId="46" applyNumberFormat="1" applyFont="1" applyFill="1" applyBorder="1" applyAlignment="1">
      <alignment horizontal="right"/>
    </xf>
    <xf numFmtId="3" fontId="100" fillId="7" borderId="574" xfId="46" applyNumberFormat="1" applyFont="1" applyFill="1" applyBorder="1" applyAlignment="1" applyProtection="1"/>
    <xf numFmtId="3" fontId="100" fillId="45" borderId="571" xfId="46" applyNumberFormat="1" applyFont="1" applyFill="1" applyBorder="1" applyAlignment="1" applyProtection="1">
      <alignment horizontal="right"/>
    </xf>
    <xf numFmtId="0" fontId="100" fillId="33" borderId="592" xfId="45" applyFont="1" applyFill="1" applyBorder="1" applyAlignment="1" applyProtection="1">
      <alignment horizontal="center"/>
      <protection locked="0"/>
    </xf>
    <xf numFmtId="0" fontId="100" fillId="47" borderId="579" xfId="45" applyFont="1" applyFill="1" applyBorder="1" applyAlignment="1">
      <alignment horizontal="center"/>
    </xf>
    <xf numFmtId="0" fontId="100" fillId="47" borderId="580" xfId="45" applyFont="1" applyFill="1" applyBorder="1" applyAlignment="1">
      <alignment horizontal="center"/>
    </xf>
    <xf numFmtId="0" fontId="100" fillId="51" borderId="587" xfId="0" applyFont="1" applyFill="1" applyBorder="1" applyAlignment="1" applyProtection="1">
      <alignment horizontal="center"/>
      <protection locked="0"/>
    </xf>
    <xf numFmtId="0" fontId="100" fillId="51" borderId="593" xfId="0" applyFont="1" applyFill="1" applyBorder="1" applyAlignment="1" applyProtection="1">
      <alignment horizontal="center"/>
      <protection locked="0"/>
    </xf>
    <xf numFmtId="0" fontId="100" fillId="51" borderId="575" xfId="0" applyFont="1" applyFill="1" applyBorder="1" applyAlignment="1" applyProtection="1">
      <alignment horizontal="center"/>
      <protection locked="0"/>
    </xf>
    <xf numFmtId="3" fontId="100" fillId="46" borderId="555" xfId="46" applyNumberFormat="1" applyFont="1" applyFill="1" applyBorder="1" applyAlignment="1" applyProtection="1">
      <protection locked="0"/>
    </xf>
    <xf numFmtId="0" fontId="154" fillId="33" borderId="556" xfId="45" applyFont="1" applyFill="1" applyBorder="1" applyAlignment="1" applyProtection="1">
      <alignment horizontal="center" wrapText="1"/>
      <protection locked="0"/>
    </xf>
    <xf numFmtId="0" fontId="154" fillId="33" borderId="586" xfId="45" applyFont="1" applyFill="1" applyBorder="1" applyAlignment="1" applyProtection="1">
      <alignment horizontal="center" wrapText="1"/>
      <protection locked="0"/>
    </xf>
    <xf numFmtId="0" fontId="154" fillId="33" borderId="143" xfId="45" applyFont="1" applyFill="1" applyBorder="1" applyAlignment="1" applyProtection="1">
      <alignment horizontal="center"/>
      <protection locked="0"/>
    </xf>
    <xf numFmtId="0" fontId="154" fillId="33" borderId="231" xfId="45" applyFont="1" applyFill="1" applyBorder="1" applyAlignment="1" applyProtection="1">
      <alignment horizontal="center"/>
      <protection locked="0"/>
    </xf>
    <xf numFmtId="0" fontId="100" fillId="33" borderId="593" xfId="45" applyFont="1" applyFill="1" applyBorder="1" applyAlignment="1" applyProtection="1">
      <alignment horizontal="center"/>
      <protection locked="0"/>
    </xf>
    <xf numFmtId="0" fontId="100" fillId="47" borderId="582" xfId="45" applyFont="1" applyFill="1" applyBorder="1" applyAlignment="1">
      <alignment horizontal="center"/>
    </xf>
    <xf numFmtId="0" fontId="100" fillId="51" borderId="574" xfId="0" applyFont="1" applyFill="1" applyBorder="1" applyAlignment="1" applyProtection="1">
      <alignment horizontal="center"/>
      <protection locked="0"/>
    </xf>
    <xf numFmtId="0" fontId="100" fillId="33" borderId="442" xfId="45" applyFont="1" applyFill="1" applyBorder="1" applyAlignment="1" applyProtection="1">
      <alignment horizontal="center"/>
      <protection locked="0"/>
    </xf>
    <xf numFmtId="0" fontId="100" fillId="33" borderId="594" xfId="45" applyFont="1" applyFill="1" applyBorder="1" applyAlignment="1" applyProtection="1">
      <alignment horizontal="center"/>
      <protection locked="0"/>
    </xf>
    <xf numFmtId="0" fontId="100" fillId="33" borderId="217" xfId="45" applyFont="1" applyFill="1" applyBorder="1" applyAlignment="1" applyProtection="1">
      <alignment horizontal="center"/>
      <protection locked="0"/>
    </xf>
    <xf numFmtId="0" fontId="100" fillId="33" borderId="583" xfId="45" applyFont="1" applyFill="1" applyBorder="1" applyAlignment="1" applyProtection="1">
      <alignment horizontal="center"/>
      <protection locked="0"/>
    </xf>
    <xf numFmtId="0" fontId="100" fillId="33" borderId="595" xfId="45" applyFont="1" applyFill="1" applyBorder="1" applyAlignment="1" applyProtection="1">
      <alignment horizontal="center"/>
      <protection locked="0"/>
    </xf>
    <xf numFmtId="0" fontId="100" fillId="33" borderId="590" xfId="45" applyFont="1" applyFill="1" applyBorder="1" applyAlignment="1" applyProtection="1">
      <alignment horizontal="center"/>
      <protection locked="0"/>
    </xf>
    <xf numFmtId="0" fontId="100" fillId="7" borderId="473" xfId="45" applyFont="1" applyFill="1" applyBorder="1" applyAlignment="1">
      <alignment horizontal="center"/>
    </xf>
    <xf numFmtId="0" fontId="154" fillId="33" borderId="591" xfId="45" applyFont="1" applyFill="1" applyBorder="1" applyAlignment="1" applyProtection="1">
      <alignment horizontal="center"/>
      <protection locked="0"/>
    </xf>
    <xf numFmtId="0" fontId="154" fillId="33" borderId="587" xfId="45" applyFont="1" applyFill="1" applyBorder="1" applyAlignment="1" applyProtection="1">
      <alignment horizontal="center"/>
      <protection locked="0"/>
    </xf>
    <xf numFmtId="0" fontId="154" fillId="33" borderId="589" xfId="45" applyFont="1" applyFill="1" applyBorder="1" applyAlignment="1" applyProtection="1">
      <alignment horizontal="center"/>
      <protection locked="0"/>
    </xf>
    <xf numFmtId="0" fontId="100" fillId="47" borderId="574" xfId="45" applyFont="1" applyFill="1" applyBorder="1" applyAlignment="1">
      <alignment horizontal="center"/>
    </xf>
    <xf numFmtId="0" fontId="154" fillId="33" borderId="593" xfId="45" applyFont="1" applyFill="1" applyBorder="1" applyAlignment="1" applyProtection="1">
      <alignment horizontal="center"/>
      <protection locked="0"/>
    </xf>
    <xf numFmtId="0" fontId="100" fillId="33" borderId="575" xfId="45" applyFont="1" applyFill="1" applyBorder="1" applyAlignment="1" applyProtection="1">
      <alignment horizontal="center"/>
      <protection locked="0"/>
    </xf>
    <xf numFmtId="0" fontId="100" fillId="45" borderId="548" xfId="45" applyFont="1" applyFill="1" applyBorder="1" applyAlignment="1">
      <alignment horizontal="center"/>
    </xf>
    <xf numFmtId="0" fontId="154" fillId="33" borderId="596" xfId="45" applyFont="1" applyFill="1" applyBorder="1" applyAlignment="1" applyProtection="1">
      <alignment horizontal="center"/>
      <protection locked="0"/>
    </xf>
    <xf numFmtId="0" fontId="100" fillId="33" borderId="577" xfId="45" applyFont="1" applyFill="1" applyBorder="1" applyAlignment="1" applyProtection="1">
      <alignment horizontal="center"/>
      <protection locked="0"/>
    </xf>
    <xf numFmtId="0" fontId="100" fillId="45" borderId="594" xfId="45" applyFont="1" applyFill="1" applyBorder="1" applyAlignment="1">
      <alignment horizontal="center"/>
    </xf>
    <xf numFmtId="0" fontId="100" fillId="33" borderId="597" xfId="45" applyFont="1" applyFill="1" applyBorder="1" applyAlignment="1" applyProtection="1">
      <alignment horizontal="center"/>
      <protection locked="0"/>
    </xf>
    <xf numFmtId="0" fontId="100" fillId="33" borderId="573" xfId="45" applyFont="1" applyFill="1" applyBorder="1" applyAlignment="1" applyProtection="1">
      <alignment horizontal="center"/>
      <protection locked="0"/>
    </xf>
    <xf numFmtId="176" fontId="100" fillId="7" borderId="573" xfId="45" applyNumberFormat="1" applyFont="1" applyFill="1" applyBorder="1" applyAlignment="1">
      <alignment horizontal="center"/>
    </xf>
    <xf numFmtId="0" fontId="100" fillId="7" borderId="573" xfId="45" applyFont="1" applyFill="1" applyBorder="1" applyAlignment="1">
      <alignment horizontal="center"/>
    </xf>
    <xf numFmtId="170" fontId="100" fillId="33" borderId="573" xfId="45" applyNumberFormat="1" applyFont="1" applyFill="1" applyBorder="1" applyAlignment="1" applyProtection="1">
      <alignment horizontal="center"/>
      <protection locked="0"/>
    </xf>
    <xf numFmtId="170" fontId="100" fillId="62" borderId="573" xfId="45" applyNumberFormat="1" applyFont="1" applyFill="1" applyBorder="1" applyAlignment="1" applyProtection="1">
      <alignment horizontal="center"/>
      <protection locked="0"/>
    </xf>
    <xf numFmtId="3" fontId="100" fillId="7" borderId="573" xfId="46" applyNumberFormat="1" applyFont="1" applyFill="1" applyBorder="1" applyAlignment="1">
      <alignment horizontal="right"/>
    </xf>
    <xf numFmtId="3" fontId="100" fillId="45" borderId="573" xfId="46" applyNumberFormat="1" applyFont="1" applyFill="1" applyBorder="1" applyAlignment="1" applyProtection="1">
      <alignment horizontal="right"/>
    </xf>
    <xf numFmtId="3" fontId="100" fillId="33" borderId="573" xfId="46" applyNumberFormat="1" applyFont="1" applyFill="1" applyBorder="1" applyAlignment="1" applyProtection="1">
      <protection locked="0"/>
    </xf>
    <xf numFmtId="3" fontId="100" fillId="7" borderId="573" xfId="46" applyNumberFormat="1" applyFont="1" applyFill="1" applyBorder="1" applyAlignment="1" applyProtection="1"/>
    <xf numFmtId="0" fontId="154" fillId="33" borderId="432" xfId="45" applyFont="1" applyFill="1" applyBorder="1" applyAlignment="1" applyProtection="1">
      <alignment horizontal="center"/>
      <protection locked="0"/>
    </xf>
    <xf numFmtId="0" fontId="100" fillId="51" borderId="442" xfId="0" applyFont="1" applyFill="1" applyBorder="1" applyAlignment="1" applyProtection="1">
      <alignment horizontal="center"/>
      <protection locked="0"/>
    </xf>
    <xf numFmtId="0" fontId="100" fillId="51" borderId="570" xfId="0" applyFont="1" applyFill="1" applyBorder="1" applyAlignment="1" applyProtection="1">
      <alignment horizontal="center"/>
      <protection locked="0"/>
    </xf>
    <xf numFmtId="0" fontId="100" fillId="51" borderId="595" xfId="0" applyFont="1" applyFill="1" applyBorder="1" applyAlignment="1" applyProtection="1">
      <alignment horizontal="center"/>
      <protection locked="0"/>
    </xf>
    <xf numFmtId="0" fontId="100" fillId="51" borderId="467" xfId="0" applyFont="1" applyFill="1" applyBorder="1" applyAlignment="1" applyProtection="1">
      <alignment horizontal="center"/>
      <protection locked="0"/>
    </xf>
    <xf numFmtId="0" fontId="154" fillId="33" borderId="587" xfId="45" applyFont="1" applyFill="1" applyBorder="1" applyAlignment="1" applyProtection="1">
      <alignment horizontal="center" wrapText="1"/>
      <protection locked="0"/>
    </xf>
    <xf numFmtId="0" fontId="154" fillId="33" borderId="598" xfId="45" applyFont="1" applyFill="1" applyBorder="1" applyAlignment="1" applyProtection="1">
      <alignment horizontal="center" wrapText="1"/>
      <protection locked="0"/>
    </xf>
    <xf numFmtId="0" fontId="154" fillId="33" borderId="588" xfId="45" applyFont="1" applyFill="1" applyBorder="1" applyAlignment="1" applyProtection="1">
      <alignment horizontal="center"/>
      <protection locked="0"/>
    </xf>
    <xf numFmtId="3" fontId="100" fillId="51" borderId="555" xfId="0" applyNumberFormat="1" applyFont="1" applyFill="1" applyBorder="1" applyProtection="1">
      <protection locked="0"/>
    </xf>
    <xf numFmtId="0" fontId="154" fillId="33" borderId="597" xfId="45" applyFont="1" applyFill="1" applyBorder="1" applyAlignment="1" applyProtection="1">
      <alignment horizontal="center"/>
      <protection locked="0"/>
    </xf>
    <xf numFmtId="3" fontId="100" fillId="73" borderId="573" xfId="46" applyNumberFormat="1" applyFont="1" applyFill="1" applyBorder="1" applyAlignment="1" applyProtection="1">
      <alignment horizontal="right"/>
    </xf>
    <xf numFmtId="0" fontId="154" fillId="33" borderId="593" xfId="45" applyFont="1" applyFill="1" applyBorder="1" applyAlignment="1" applyProtection="1">
      <alignment horizontal="center" wrapText="1"/>
      <protection locked="0"/>
    </xf>
    <xf numFmtId="0" fontId="100" fillId="47" borderId="575" xfId="45" applyFont="1" applyFill="1" applyBorder="1" applyAlignment="1">
      <alignment horizontal="center"/>
    </xf>
    <xf numFmtId="0" fontId="100" fillId="33" borderId="548" xfId="45" applyFont="1" applyFill="1" applyBorder="1" applyAlignment="1" applyProtection="1">
      <alignment horizontal="center"/>
      <protection locked="0"/>
    </xf>
    <xf numFmtId="0" fontId="100" fillId="33" borderId="569" xfId="45" applyFont="1" applyFill="1" applyBorder="1" applyAlignment="1" applyProtection="1">
      <alignment horizontal="center"/>
      <protection locked="0"/>
    </xf>
    <xf numFmtId="0" fontId="100" fillId="33" borderId="467" xfId="45" applyFont="1" applyFill="1" applyBorder="1" applyAlignment="1" applyProtection="1">
      <alignment horizontal="center"/>
      <protection locked="0"/>
    </xf>
    <xf numFmtId="3" fontId="100" fillId="51" borderId="574" xfId="0" applyNumberFormat="1" applyFont="1" applyFill="1" applyBorder="1" applyProtection="1">
      <protection locked="0"/>
    </xf>
    <xf numFmtId="0" fontId="154" fillId="33" borderId="589" xfId="45" applyFont="1" applyFill="1" applyBorder="1" applyAlignment="1" applyProtection="1">
      <alignment horizontal="center" wrapText="1"/>
      <protection locked="0"/>
    </xf>
    <xf numFmtId="3" fontId="100" fillId="7" borderId="584" xfId="46" applyNumberFormat="1" applyFont="1" applyFill="1" applyBorder="1" applyAlignment="1" applyProtection="1"/>
    <xf numFmtId="3" fontId="100" fillId="7" borderId="576" xfId="46" applyNumberFormat="1" applyFont="1" applyFill="1" applyBorder="1" applyAlignment="1" applyProtection="1"/>
    <xf numFmtId="3" fontId="155" fillId="10" borderId="599" xfId="45" applyNumberFormat="1" applyFont="1" applyFill="1" applyBorder="1"/>
    <xf numFmtId="3" fontId="100" fillId="0" borderId="0" xfId="45" applyNumberFormat="1" applyFont="1"/>
    <xf numFmtId="0" fontId="87" fillId="66" borderId="450" xfId="45" applyFont="1" applyFill="1" applyBorder="1" applyAlignment="1">
      <alignment horizontal="center" wrapText="1"/>
    </xf>
    <xf numFmtId="0" fontId="78" fillId="75" borderId="450" xfId="45" applyFill="1" applyBorder="1" applyAlignment="1">
      <alignment horizontal="left" wrapText="1"/>
    </xf>
    <xf numFmtId="4" fontId="59" fillId="75" borderId="450" xfId="1" applyFill="1" applyBorder="1" applyProtection="1">
      <protection locked="0"/>
    </xf>
    <xf numFmtId="0" fontId="78" fillId="75" borderId="450" xfId="45" applyFill="1" applyBorder="1"/>
    <xf numFmtId="0" fontId="78" fillId="75" borderId="459" xfId="45" applyFill="1" applyBorder="1"/>
    <xf numFmtId="4" fontId="59" fillId="75" borderId="459" xfId="1" applyFill="1" applyBorder="1" applyProtection="1">
      <protection locked="0"/>
    </xf>
    <xf numFmtId="0" fontId="78" fillId="75" borderId="572" xfId="45" applyFill="1" applyBorder="1"/>
    <xf numFmtId="4" fontId="59" fillId="75" borderId="572" xfId="1" applyFill="1" applyBorder="1" applyProtection="1">
      <protection locked="0"/>
    </xf>
    <xf numFmtId="0" fontId="78" fillId="75" borderId="450" xfId="45" applyFill="1" applyBorder="1" applyAlignment="1">
      <alignment wrapText="1"/>
    </xf>
    <xf numFmtId="4" fontId="59" fillId="75" borderId="450" xfId="1" applyFill="1" applyBorder="1"/>
    <xf numFmtId="0" fontId="78" fillId="75" borderId="572" xfId="45" applyFill="1" applyBorder="1" applyAlignment="1">
      <alignment wrapText="1"/>
    </xf>
    <xf numFmtId="4" fontId="59" fillId="75" borderId="572" xfId="1" applyFill="1" applyBorder="1"/>
    <xf numFmtId="4" fontId="114" fillId="30" borderId="569" xfId="46" applyNumberFormat="1" applyFont="1" applyFill="1" applyBorder="1" applyAlignment="1"/>
    <xf numFmtId="4" fontId="100" fillId="49" borderId="548" xfId="45" applyNumberFormat="1" applyFont="1" applyFill="1" applyBorder="1" applyAlignment="1">
      <alignment horizontal="center"/>
    </xf>
    <xf numFmtId="4" fontId="100" fillId="49" borderId="594" xfId="45" applyNumberFormat="1" applyFont="1" applyFill="1" applyBorder="1" applyAlignment="1">
      <alignment horizontal="center"/>
    </xf>
    <xf numFmtId="4" fontId="114" fillId="7" borderId="548" xfId="46" applyNumberFormat="1" applyFont="1" applyFill="1" applyBorder="1" applyAlignment="1"/>
    <xf numFmtId="4" fontId="114" fillId="33" borderId="572" xfId="46" applyNumberFormat="1" applyFont="1" applyFill="1" applyBorder="1" applyAlignment="1" applyProtection="1">
      <protection locked="0"/>
    </xf>
    <xf numFmtId="4" fontId="114" fillId="30" borderId="548" xfId="46" applyNumberFormat="1" applyFont="1" applyFill="1" applyBorder="1" applyAlignment="1"/>
    <xf numFmtId="0" fontId="3" fillId="0" borderId="456" xfId="0" applyFont="1" applyBorder="1" applyAlignment="1">
      <alignment horizontal="center" wrapText="1"/>
    </xf>
    <xf numFmtId="3" fontId="134" fillId="33" borderId="600" xfId="1" applyNumberFormat="1" applyFont="1" applyFill="1" applyBorder="1" applyAlignment="1" applyProtection="1">
      <protection locked="0"/>
    </xf>
    <xf numFmtId="3" fontId="134" fillId="33" borderId="68" xfId="1" applyNumberFormat="1" applyFont="1" applyFill="1" applyBorder="1" applyAlignment="1" applyProtection="1">
      <protection locked="0"/>
    </xf>
    <xf numFmtId="0" fontId="4" fillId="3" borderId="537" xfId="0" applyFont="1" applyFill="1" applyBorder="1" applyAlignment="1">
      <alignment horizontal="center"/>
    </xf>
    <xf numFmtId="1" fontId="4" fillId="3" borderId="601" xfId="0" applyNumberFormat="1" applyFont="1" applyFill="1" applyBorder="1" applyAlignment="1">
      <alignment horizontal="left"/>
    </xf>
    <xf numFmtId="0" fontId="38" fillId="3" borderId="602" xfId="0" applyFont="1" applyFill="1" applyBorder="1"/>
    <xf numFmtId="1" fontId="42" fillId="3" borderId="602" xfId="15" applyNumberFormat="1" applyFont="1" applyFill="1" applyBorder="1" applyAlignment="1" applyProtection="1">
      <alignment horizontal="center"/>
    </xf>
    <xf numFmtId="0" fontId="4" fillId="0" borderId="217" xfId="0" applyFont="1" applyBorder="1" applyAlignment="1">
      <alignment horizontal="center"/>
    </xf>
    <xf numFmtId="0" fontId="4" fillId="33" borderId="603" xfId="0" applyFont="1" applyFill="1" applyBorder="1" applyAlignment="1" applyProtection="1">
      <alignment horizontal="left"/>
      <protection locked="0"/>
    </xf>
    <xf numFmtId="0" fontId="4" fillId="0" borderId="604" xfId="0" applyFont="1" applyBorder="1" applyAlignment="1">
      <alignment horizontal="center"/>
    </xf>
    <xf numFmtId="0" fontId="67" fillId="18" borderId="605" xfId="0" applyFont="1" applyFill="1" applyBorder="1"/>
    <xf numFmtId="0" fontId="67" fillId="18" borderId="606" xfId="0" applyFont="1" applyFill="1" applyBorder="1" applyAlignment="1">
      <alignment horizontal="left"/>
    </xf>
    <xf numFmtId="0" fontId="73" fillId="10" borderId="607" xfId="0" applyFont="1" applyFill="1" applyBorder="1"/>
    <xf numFmtId="3" fontId="67" fillId="10" borderId="608" xfId="0" applyNumberFormat="1" applyFont="1" applyFill="1" applyBorder="1"/>
    <xf numFmtId="3" fontId="73" fillId="10" borderId="609" xfId="0" applyNumberFormat="1" applyFont="1" applyFill="1" applyBorder="1"/>
    <xf numFmtId="3" fontId="138" fillId="33" borderId="45" xfId="1" applyNumberFormat="1" applyFont="1" applyFill="1" applyBorder="1" applyAlignment="1" applyProtection="1">
      <protection locked="0"/>
    </xf>
    <xf numFmtId="3" fontId="145" fillId="33" borderId="45" xfId="15" applyFont="1" applyFill="1" applyBorder="1" applyAlignment="1" applyProtection="1">
      <alignment horizontal="center"/>
      <protection locked="0"/>
    </xf>
    <xf numFmtId="3" fontId="138" fillId="33" borderId="68" xfId="1" applyNumberFormat="1" applyFont="1" applyFill="1" applyBorder="1" applyAlignment="1" applyProtection="1">
      <protection locked="0"/>
    </xf>
    <xf numFmtId="3" fontId="134" fillId="33" borderId="68" xfId="0" applyNumberFormat="1" applyFont="1" applyFill="1" applyBorder="1" applyProtection="1">
      <protection locked="0"/>
    </xf>
    <xf numFmtId="3" fontId="134" fillId="33" borderId="62" xfId="1" applyNumberFormat="1" applyFont="1" applyFill="1" applyBorder="1" applyAlignment="1" applyProtection="1">
      <protection locked="0"/>
    </xf>
    <xf numFmtId="1" fontId="4" fillId="3" borderId="612" xfId="0" applyNumberFormat="1" applyFont="1" applyFill="1" applyBorder="1" applyAlignment="1">
      <alignment horizontal="center"/>
    </xf>
    <xf numFmtId="1" fontId="4" fillId="3" borderId="613" xfId="0" applyNumberFormat="1" applyFont="1" applyFill="1" applyBorder="1" applyAlignment="1">
      <alignment horizontal="left"/>
    </xf>
    <xf numFmtId="0" fontId="38" fillId="3" borderId="614" xfId="0" applyFont="1" applyFill="1" applyBorder="1"/>
    <xf numFmtId="1" fontId="42" fillId="3" borderId="614" xfId="15" applyNumberFormat="1" applyFont="1" applyFill="1" applyBorder="1" applyAlignment="1" applyProtection="1">
      <alignment horizontal="center"/>
    </xf>
    <xf numFmtId="1" fontId="135" fillId="3" borderId="615" xfId="15" applyNumberFormat="1" applyFont="1" applyFill="1" applyBorder="1" applyAlignment="1" applyProtection="1">
      <alignment horizontal="center"/>
    </xf>
    <xf numFmtId="0" fontId="4" fillId="0" borderId="617" xfId="0" applyFont="1" applyBorder="1" applyAlignment="1">
      <alignment horizontal="center"/>
    </xf>
    <xf numFmtId="0" fontId="4" fillId="0" borderId="618" xfId="0" applyFont="1" applyBorder="1" applyAlignment="1">
      <alignment horizontal="center"/>
    </xf>
    <xf numFmtId="0" fontId="73" fillId="10" borderId="619" xfId="0" applyFont="1" applyFill="1" applyBorder="1" applyAlignment="1">
      <alignment horizontal="center"/>
    </xf>
    <xf numFmtId="0" fontId="73" fillId="10" borderId="620" xfId="0" applyFont="1" applyFill="1" applyBorder="1" applyAlignment="1">
      <alignment horizontal="left"/>
    </xf>
    <xf numFmtId="0" fontId="67" fillId="10" borderId="621" xfId="0" applyFont="1" applyFill="1" applyBorder="1"/>
    <xf numFmtId="3" fontId="73" fillId="10" borderId="622" xfId="1" applyNumberFormat="1" applyFont="1" applyFill="1" applyBorder="1" applyAlignment="1" applyProtection="1"/>
    <xf numFmtId="0" fontId="4" fillId="3" borderId="623" xfId="0" applyFont="1" applyFill="1" applyBorder="1" applyAlignment="1">
      <alignment horizontal="center"/>
    </xf>
    <xf numFmtId="1" fontId="4" fillId="3" borderId="624" xfId="0" applyNumberFormat="1" applyFont="1" applyFill="1" applyBorder="1" applyAlignment="1">
      <alignment horizontal="left"/>
    </xf>
    <xf numFmtId="0" fontId="38" fillId="3" borderId="625" xfId="0" applyFont="1" applyFill="1" applyBorder="1"/>
    <xf numFmtId="1" fontId="42" fillId="3" borderId="626" xfId="15" applyNumberFormat="1" applyFont="1" applyFill="1" applyBorder="1" applyAlignment="1" applyProtection="1">
      <alignment horizontal="center"/>
    </xf>
    <xf numFmtId="0" fontId="4" fillId="33" borderId="627" xfId="0" applyFont="1" applyFill="1" applyBorder="1" applyAlignment="1" applyProtection="1">
      <alignment horizontal="left"/>
      <protection locked="0"/>
    </xf>
    <xf numFmtId="0" fontId="73" fillId="10" borderId="623" xfId="0" applyFont="1" applyFill="1" applyBorder="1" applyAlignment="1">
      <alignment horizontal="center"/>
    </xf>
    <xf numFmtId="0" fontId="73" fillId="10" borderId="624" xfId="0" applyFont="1" applyFill="1" applyBorder="1" applyAlignment="1">
      <alignment horizontal="left"/>
    </xf>
    <xf numFmtId="0" fontId="67" fillId="10" borderId="625" xfId="0" applyFont="1" applyFill="1" applyBorder="1"/>
    <xf numFmtId="3" fontId="73" fillId="10" borderId="628" xfId="1" applyNumberFormat="1" applyFont="1" applyFill="1" applyBorder="1" applyAlignment="1" applyProtection="1"/>
    <xf numFmtId="0" fontId="4" fillId="3" borderId="629" xfId="0" applyFont="1" applyFill="1" applyBorder="1" applyAlignment="1">
      <alignment horizontal="center"/>
    </xf>
    <xf numFmtId="0" fontId="4" fillId="0" borderId="630" xfId="0" applyFont="1" applyBorder="1" applyAlignment="1">
      <alignment horizontal="center"/>
    </xf>
    <xf numFmtId="0" fontId="4" fillId="3" borderId="619" xfId="0" applyFont="1" applyFill="1" applyBorder="1" applyAlignment="1">
      <alignment horizontal="center"/>
    </xf>
    <xf numFmtId="1" fontId="4" fillId="3" borderId="620" xfId="0" applyNumberFormat="1" applyFont="1" applyFill="1" applyBorder="1" applyAlignment="1">
      <alignment horizontal="left"/>
    </xf>
    <xf numFmtId="0" fontId="38" fillId="3" borderId="621" xfId="0" applyFont="1" applyFill="1" applyBorder="1"/>
    <xf numFmtId="0" fontId="4" fillId="0" borderId="631" xfId="0" applyFont="1" applyBorder="1" applyAlignment="1">
      <alignment horizontal="center"/>
    </xf>
    <xf numFmtId="0" fontId="4" fillId="33" borderId="632" xfId="0" applyFont="1" applyFill="1" applyBorder="1" applyAlignment="1" applyProtection="1">
      <alignment horizontal="left"/>
      <protection locked="0"/>
    </xf>
    <xf numFmtId="3" fontId="134" fillId="11" borderId="600" xfId="1" applyNumberFormat="1" applyFont="1" applyFill="1" applyBorder="1" applyAlignment="1" applyProtection="1"/>
    <xf numFmtId="0" fontId="73" fillId="10" borderId="629" xfId="0" applyFont="1" applyFill="1" applyBorder="1" applyAlignment="1">
      <alignment horizontal="center"/>
    </xf>
    <xf numFmtId="0" fontId="67" fillId="10" borderId="633" xfId="0" applyFont="1" applyFill="1" applyBorder="1"/>
    <xf numFmtId="3" fontId="73" fillId="10" borderId="633" xfId="1" applyNumberFormat="1" applyFont="1" applyFill="1" applyBorder="1" applyAlignment="1" applyProtection="1"/>
    <xf numFmtId="0" fontId="4" fillId="3" borderId="634" xfId="0" applyFont="1" applyFill="1" applyBorder="1" applyAlignment="1">
      <alignment horizontal="center"/>
    </xf>
    <xf numFmtId="1" fontId="4" fillId="3" borderId="635" xfId="0" applyNumberFormat="1" applyFont="1" applyFill="1" applyBorder="1" applyAlignment="1">
      <alignment horizontal="left"/>
    </xf>
    <xf numFmtId="0" fontId="38" fillId="3" borderId="636" xfId="0" applyFont="1" applyFill="1" applyBorder="1"/>
    <xf numFmtId="1" fontId="42" fillId="3" borderId="637" xfId="15" applyNumberFormat="1" applyFont="1" applyFill="1" applyBorder="1" applyAlignment="1" applyProtection="1">
      <alignment horizontal="center"/>
    </xf>
    <xf numFmtId="0" fontId="73" fillId="10" borderId="638" xfId="0" applyFont="1" applyFill="1" applyBorder="1" applyAlignment="1">
      <alignment horizontal="left"/>
    </xf>
    <xf numFmtId="0" fontId="73" fillId="10" borderId="639" xfId="0" applyFont="1" applyFill="1" applyBorder="1" applyAlignment="1">
      <alignment horizontal="left"/>
    </xf>
    <xf numFmtId="0" fontId="73" fillId="10" borderId="639" xfId="0" applyFont="1" applyFill="1" applyBorder="1"/>
    <xf numFmtId="3" fontId="73" fillId="10" borderId="640" xfId="1" applyNumberFormat="1" applyFont="1" applyFill="1" applyBorder="1" applyAlignment="1" applyProtection="1"/>
    <xf numFmtId="3" fontId="144" fillId="3" borderId="633" xfId="1" applyNumberFormat="1" applyFont="1" applyFill="1" applyBorder="1" applyAlignment="1" applyProtection="1">
      <protection locked="0"/>
    </xf>
    <xf numFmtId="0" fontId="4" fillId="33" borderId="0" xfId="0" applyFont="1" applyFill="1" applyProtection="1">
      <protection locked="0"/>
    </xf>
    <xf numFmtId="1" fontId="42" fillId="3" borderId="641" xfId="15" applyNumberFormat="1" applyFont="1" applyFill="1" applyBorder="1" applyAlignment="1" applyProtection="1">
      <alignment horizontal="center"/>
    </xf>
    <xf numFmtId="3" fontId="138" fillId="33" borderId="627" xfId="1" applyNumberFormat="1" applyFont="1" applyFill="1" applyBorder="1" applyAlignment="1" applyProtection="1">
      <protection locked="0"/>
    </xf>
    <xf numFmtId="0" fontId="4" fillId="0" borderId="642" xfId="0" applyFont="1" applyBorder="1" applyAlignment="1">
      <alignment horizontal="center"/>
    </xf>
    <xf numFmtId="1" fontId="4" fillId="3" borderId="643" xfId="0" applyNumberFormat="1" applyFont="1" applyFill="1" applyBorder="1" applyAlignment="1">
      <alignment horizontal="center"/>
    </xf>
    <xf numFmtId="1" fontId="4" fillId="3" borderId="644" xfId="0" applyNumberFormat="1" applyFont="1" applyFill="1" applyBorder="1" applyAlignment="1">
      <alignment horizontal="left"/>
    </xf>
    <xf numFmtId="0" fontId="38" fillId="3" borderId="645" xfId="0" applyFont="1" applyFill="1" applyBorder="1"/>
    <xf numFmtId="1" fontId="42" fillId="3" borderId="646" xfId="15" applyNumberFormat="1" applyFont="1" applyFill="1" applyBorder="1" applyAlignment="1" applyProtection="1">
      <alignment horizontal="center"/>
    </xf>
    <xf numFmtId="0" fontId="38" fillId="3" borderId="624" xfId="0" applyFont="1" applyFill="1" applyBorder="1"/>
    <xf numFmtId="0" fontId="4" fillId="7" borderId="630" xfId="0" applyFont="1" applyFill="1" applyBorder="1" applyAlignment="1">
      <alignment horizontal="center"/>
    </xf>
    <xf numFmtId="0" fontId="42" fillId="7" borderId="0" xfId="0" applyFont="1" applyFill="1"/>
    <xf numFmtId="3" fontId="43" fillId="7" borderId="647" xfId="1" applyNumberFormat="1" applyFont="1" applyFill="1" applyBorder="1" applyAlignment="1" applyProtection="1"/>
    <xf numFmtId="0" fontId="67" fillId="10" borderId="600" xfId="0" applyFont="1" applyFill="1" applyBorder="1"/>
    <xf numFmtId="0" fontId="73" fillId="10" borderId="648" xfId="0" applyFont="1" applyFill="1" applyBorder="1"/>
    <xf numFmtId="0" fontId="73" fillId="10" borderId="649" xfId="0" applyFont="1" applyFill="1" applyBorder="1" applyAlignment="1">
      <alignment horizontal="left"/>
    </xf>
    <xf numFmtId="0" fontId="67" fillId="18" borderId="649" xfId="0" applyFont="1" applyFill="1" applyBorder="1"/>
    <xf numFmtId="3" fontId="67" fillId="10" borderId="650" xfId="1" applyNumberFormat="1" applyFont="1" applyFill="1" applyBorder="1" applyAlignment="1" applyProtection="1"/>
    <xf numFmtId="3" fontId="67" fillId="24" borderId="651" xfId="1" applyNumberFormat="1" applyFont="1" applyFill="1" applyBorder="1" applyAlignment="1" applyProtection="1"/>
    <xf numFmtId="0" fontId="73" fillId="76" borderId="0" xfId="0" applyFont="1" applyFill="1" applyAlignment="1">
      <alignment horizontal="left"/>
    </xf>
    <xf numFmtId="0" fontId="73" fillId="76" borderId="0" xfId="0" applyFont="1" applyFill="1"/>
    <xf numFmtId="3" fontId="73" fillId="76" borderId="0" xfId="0" applyNumberFormat="1" applyFont="1" applyFill="1"/>
    <xf numFmtId="0" fontId="68" fillId="76" borderId="0" xfId="0" applyFont="1" applyFill="1" applyAlignment="1">
      <alignment horizontal="left"/>
    </xf>
    <xf numFmtId="0" fontId="68" fillId="76" borderId="0" xfId="0" applyFont="1" applyFill="1"/>
    <xf numFmtId="3" fontId="134" fillId="33" borderId="633" xfId="0" applyNumberFormat="1" applyFont="1" applyFill="1" applyBorder="1" applyProtection="1">
      <protection locked="0"/>
    </xf>
    <xf numFmtId="3" fontId="139" fillId="51" borderId="653" xfId="0" applyNumberFormat="1" applyFont="1" applyFill="1" applyBorder="1" applyProtection="1">
      <protection locked="0"/>
    </xf>
    <xf numFmtId="3" fontId="134" fillId="33" borderId="654" xfId="0" applyNumberFormat="1" applyFont="1" applyFill="1" applyBorder="1" applyProtection="1">
      <protection locked="0"/>
    </xf>
    <xf numFmtId="0" fontId="43" fillId="33" borderId="655" xfId="0" applyFont="1" applyFill="1" applyBorder="1" applyProtection="1">
      <protection locked="0"/>
    </xf>
    <xf numFmtId="3" fontId="43" fillId="33" borderId="54" xfId="0" applyNumberFormat="1" applyFont="1" applyFill="1" applyBorder="1" applyProtection="1">
      <protection locked="0"/>
    </xf>
    <xf numFmtId="3" fontId="134" fillId="33" borderId="656" xfId="0" applyNumberFormat="1" applyFont="1" applyFill="1" applyBorder="1" applyProtection="1">
      <protection locked="0"/>
    </xf>
    <xf numFmtId="1" fontId="43" fillId="16" borderId="657" xfId="0" applyNumberFormat="1" applyFont="1" applyFill="1" applyBorder="1" applyAlignment="1">
      <alignment horizontal="center"/>
    </xf>
    <xf numFmtId="0" fontId="4" fillId="10" borderId="658" xfId="0" applyFont="1" applyFill="1" applyBorder="1"/>
    <xf numFmtId="3" fontId="91" fillId="11" borderId="596" xfId="0" applyNumberFormat="1" applyFont="1" applyFill="1" applyBorder="1"/>
    <xf numFmtId="0" fontId="4" fillId="10" borderId="479" xfId="0" applyFont="1" applyFill="1" applyBorder="1"/>
    <xf numFmtId="0" fontId="67" fillId="10" borderId="509" xfId="0" applyFont="1" applyFill="1" applyBorder="1"/>
    <xf numFmtId="0" fontId="73" fillId="10" borderId="509" xfId="0" applyFont="1" applyFill="1" applyBorder="1"/>
    <xf numFmtId="3" fontId="91" fillId="11" borderId="509" xfId="0" applyNumberFormat="1" applyFont="1" applyFill="1" applyBorder="1"/>
    <xf numFmtId="0" fontId="4" fillId="7" borderId="479" xfId="0" applyFont="1" applyFill="1" applyBorder="1"/>
    <xf numFmtId="3" fontId="134" fillId="33" borderId="662" xfId="0" applyNumberFormat="1" applyFont="1" applyFill="1" applyBorder="1" applyProtection="1">
      <protection locked="0"/>
    </xf>
    <xf numFmtId="0" fontId="4" fillId="33" borderId="479" xfId="0" applyFont="1" applyFill="1" applyBorder="1" applyProtection="1">
      <protection locked="0"/>
    </xf>
    <xf numFmtId="3" fontId="134" fillId="33" borderId="660" xfId="0" applyNumberFormat="1" applyFont="1" applyFill="1" applyBorder="1" applyProtection="1">
      <protection locked="0"/>
    </xf>
    <xf numFmtId="0" fontId="4" fillId="10" borderId="557" xfId="0" applyFont="1" applyFill="1" applyBorder="1"/>
    <xf numFmtId="0" fontId="67" fillId="10" borderId="664" xfId="0" applyFont="1" applyFill="1" applyBorder="1"/>
    <xf numFmtId="3" fontId="73" fillId="9" borderId="606" xfId="0" applyNumberFormat="1" applyFont="1" applyFill="1" applyBorder="1"/>
    <xf numFmtId="0" fontId="4" fillId="7" borderId="658" xfId="0" applyFont="1" applyFill="1" applyBorder="1"/>
    <xf numFmtId="0" fontId="67" fillId="10" borderId="606" xfId="0" applyFont="1" applyFill="1" applyBorder="1"/>
    <xf numFmtId="0" fontId="67" fillId="10" borderId="592" xfId="0" applyFont="1" applyFill="1" applyBorder="1"/>
    <xf numFmtId="3" fontId="73" fillId="9" borderId="509" xfId="0" applyNumberFormat="1" applyFont="1" applyFill="1" applyBorder="1"/>
    <xf numFmtId="1" fontId="43" fillId="16" borderId="674" xfId="0" applyNumberFormat="1" applyFont="1" applyFill="1" applyBorder="1" applyAlignment="1">
      <alignment horizontal="center"/>
    </xf>
    <xf numFmtId="0" fontId="4" fillId="10" borderId="681" xfId="0" applyFont="1" applyFill="1" applyBorder="1"/>
    <xf numFmtId="0" fontId="67" fillId="10" borderId="655" xfId="0" applyFont="1" applyFill="1" applyBorder="1"/>
    <xf numFmtId="0" fontId="67" fillId="10" borderId="671" xfId="0" applyFont="1" applyFill="1" applyBorder="1"/>
    <xf numFmtId="3" fontId="73" fillId="9" borderId="660" xfId="0" applyNumberFormat="1" applyFont="1" applyFill="1" applyBorder="1"/>
    <xf numFmtId="3" fontId="38" fillId="16" borderId="669" xfId="1" applyNumberFormat="1" applyFont="1" applyFill="1" applyBorder="1" applyAlignment="1">
      <alignment horizontal="right"/>
    </xf>
    <xf numFmtId="3" fontId="134" fillId="7" borderId="682" xfId="0" applyNumberFormat="1" applyFont="1" applyFill="1" applyBorder="1"/>
    <xf numFmtId="0" fontId="4" fillId="33" borderId="557" xfId="0" applyFont="1" applyFill="1" applyBorder="1" applyProtection="1">
      <protection locked="0"/>
    </xf>
    <xf numFmtId="3" fontId="134" fillId="7" borderId="683" xfId="0" applyNumberFormat="1" applyFont="1" applyFill="1" applyBorder="1"/>
    <xf numFmtId="0" fontId="73" fillId="76" borderId="648" xfId="0" applyFont="1" applyFill="1" applyBorder="1"/>
    <xf numFmtId="0" fontId="67" fillId="76" borderId="509" xfId="0" applyFont="1" applyFill="1" applyBorder="1"/>
    <xf numFmtId="3" fontId="134" fillId="33" borderId="685" xfId="1" applyNumberFormat="1" applyFont="1" applyFill="1" applyBorder="1" applyAlignment="1" applyProtection="1">
      <protection locked="0"/>
    </xf>
    <xf numFmtId="1" fontId="42" fillId="3" borderId="686" xfId="15" applyNumberFormat="1" applyFont="1" applyFill="1" applyBorder="1" applyAlignment="1" applyProtection="1">
      <alignment horizontal="center"/>
    </xf>
    <xf numFmtId="1" fontId="42" fillId="3" borderId="686" xfId="0" applyNumberFormat="1" applyFont="1" applyFill="1" applyBorder="1" applyAlignment="1">
      <alignment horizontal="center" vertical="top" wrapText="1"/>
    </xf>
    <xf numFmtId="1" fontId="42" fillId="3" borderId="687" xfId="0" applyNumberFormat="1" applyFont="1" applyFill="1" applyBorder="1" applyAlignment="1">
      <alignment horizontal="center" vertical="top" wrapText="1"/>
    </xf>
    <xf numFmtId="3" fontId="134" fillId="33" borderId="0" xfId="1" applyNumberFormat="1" applyFont="1" applyFill="1" applyBorder="1" applyAlignment="1" applyProtection="1">
      <protection locked="0"/>
    </xf>
    <xf numFmtId="0" fontId="42" fillId="3" borderId="686" xfId="0" applyFont="1" applyFill="1" applyBorder="1" applyAlignment="1">
      <alignment horizontal="center" vertical="top" wrapText="1"/>
    </xf>
    <xf numFmtId="3" fontId="134" fillId="33" borderId="689" xfId="1" applyNumberFormat="1" applyFont="1" applyFill="1" applyBorder="1" applyAlignment="1" applyProtection="1">
      <protection locked="0"/>
    </xf>
    <xf numFmtId="0" fontId="4" fillId="3" borderId="690" xfId="0" applyFont="1" applyFill="1" applyBorder="1" applyAlignment="1">
      <alignment horizontal="center"/>
    </xf>
    <xf numFmtId="0" fontId="4" fillId="3" borderId="691" xfId="0" applyFont="1" applyFill="1" applyBorder="1" applyAlignment="1">
      <alignment horizontal="center"/>
    </xf>
    <xf numFmtId="0" fontId="38" fillId="3" borderId="686" xfId="0" applyFont="1" applyFill="1" applyBorder="1"/>
    <xf numFmtId="1" fontId="42" fillId="3" borderId="692" xfId="15" applyNumberFormat="1" applyFont="1" applyFill="1" applyBorder="1" applyAlignment="1" applyProtection="1">
      <alignment horizontal="center"/>
    </xf>
    <xf numFmtId="0" fontId="73" fillId="24" borderId="694" xfId="0" applyFont="1" applyFill="1" applyBorder="1" applyAlignment="1">
      <alignment horizontal="left"/>
    </xf>
    <xf numFmtId="0" fontId="73" fillId="24" borderId="695" xfId="0" applyFont="1" applyFill="1" applyBorder="1" applyAlignment="1">
      <alignment horizontal="left"/>
    </xf>
    <xf numFmtId="0" fontId="67" fillId="24" borderId="695" xfId="0" applyFont="1" applyFill="1" applyBorder="1"/>
    <xf numFmtId="3" fontId="73" fillId="10" borderId="696" xfId="1" applyNumberFormat="1" applyFont="1" applyFill="1" applyBorder="1" applyAlignment="1" applyProtection="1"/>
    <xf numFmtId="0" fontId="4" fillId="3" borderId="698" xfId="0" applyFont="1" applyFill="1" applyBorder="1" applyAlignment="1">
      <alignment horizontal="center"/>
    </xf>
    <xf numFmtId="0" fontId="4" fillId="3" borderId="699" xfId="0" applyFont="1" applyFill="1" applyBorder="1" applyAlignment="1">
      <alignment horizontal="center"/>
    </xf>
    <xf numFmtId="0" fontId="38" fillId="3" borderId="700" xfId="0" applyFont="1" applyFill="1" applyBorder="1"/>
    <xf numFmtId="1" fontId="42" fillId="3" borderId="700" xfId="15" applyNumberFormat="1" applyFont="1" applyFill="1" applyBorder="1" applyAlignment="1" applyProtection="1">
      <alignment horizontal="center"/>
    </xf>
    <xf numFmtId="3" fontId="134" fillId="33" borderId="702" xfId="1" applyNumberFormat="1" applyFont="1" applyFill="1" applyBorder="1" applyAlignment="1" applyProtection="1">
      <protection locked="0"/>
    </xf>
    <xf numFmtId="0" fontId="73" fillId="18" borderId="703" xfId="0" applyFont="1" applyFill="1" applyBorder="1"/>
    <xf numFmtId="0" fontId="73" fillId="18" borderId="704" xfId="0" applyFont="1" applyFill="1" applyBorder="1"/>
    <xf numFmtId="0" fontId="67" fillId="18" borderId="704" xfId="0" applyFont="1" applyFill="1" applyBorder="1"/>
    <xf numFmtId="3" fontId="73" fillId="10" borderId="705" xfId="1" applyNumberFormat="1" applyFont="1" applyFill="1" applyBorder="1" applyAlignment="1" applyProtection="1"/>
    <xf numFmtId="3" fontId="67" fillId="10" borderId="706" xfId="1" applyNumberFormat="1" applyFont="1" applyFill="1" applyBorder="1" applyAlignment="1" applyProtection="1"/>
    <xf numFmtId="3" fontId="73" fillId="10" borderId="610" xfId="1" applyNumberFormat="1" applyFont="1" applyFill="1" applyBorder="1" applyAlignment="1" applyProtection="1"/>
    <xf numFmtId="3" fontId="172" fillId="78" borderId="177" xfId="0" applyNumberFormat="1" applyFont="1" applyFill="1" applyBorder="1"/>
    <xf numFmtId="3" fontId="73" fillId="10" borderId="697" xfId="1" applyNumberFormat="1" applyFont="1" applyFill="1" applyBorder="1" applyAlignment="1" applyProtection="1"/>
    <xf numFmtId="0" fontId="73" fillId="10" borderId="694" xfId="0" applyFont="1" applyFill="1" applyBorder="1" applyAlignment="1">
      <alignment horizontal="left"/>
    </xf>
    <xf numFmtId="0" fontId="73" fillId="10" borderId="695" xfId="0" applyFont="1" applyFill="1" applyBorder="1" applyAlignment="1">
      <alignment horizontal="left"/>
    </xf>
    <xf numFmtId="0" fontId="73" fillId="10" borderId="695" xfId="0" applyFont="1" applyFill="1" applyBorder="1"/>
    <xf numFmtId="0" fontId="38" fillId="3" borderId="687" xfId="0" applyFont="1" applyFill="1" applyBorder="1"/>
    <xf numFmtId="0" fontId="73" fillId="10" borderId="707" xfId="0" applyFont="1" applyFill="1" applyBorder="1" applyAlignment="1">
      <alignment horizontal="left"/>
    </xf>
    <xf numFmtId="0" fontId="73" fillId="10" borderId="708" xfId="0" applyFont="1" applyFill="1" applyBorder="1" applyAlignment="1">
      <alignment horizontal="left"/>
    </xf>
    <xf numFmtId="0" fontId="73" fillId="10" borderId="708" xfId="0" applyFont="1" applyFill="1" applyBorder="1"/>
    <xf numFmtId="3" fontId="73" fillId="10" borderId="709" xfId="1" applyNumberFormat="1" applyFont="1" applyFill="1" applyBorder="1" applyAlignment="1" applyProtection="1"/>
    <xf numFmtId="3" fontId="73" fillId="10" borderId="710" xfId="1" applyNumberFormat="1" applyFont="1" applyFill="1" applyBorder="1" applyAlignment="1" applyProtection="1"/>
    <xf numFmtId="0" fontId="73" fillId="10" borderId="698" xfId="0" applyFont="1" applyFill="1" applyBorder="1" applyAlignment="1">
      <alignment horizontal="left"/>
    </xf>
    <xf numFmtId="0" fontId="73" fillId="10" borderId="699" xfId="0" applyFont="1" applyFill="1" applyBorder="1" applyAlignment="1">
      <alignment horizontal="left"/>
    </xf>
    <xf numFmtId="0" fontId="73" fillId="10" borderId="699" xfId="0" applyFont="1" applyFill="1" applyBorder="1"/>
    <xf numFmtId="3" fontId="73" fillId="10" borderId="700" xfId="0" applyNumberFormat="1" applyFont="1" applyFill="1" applyBorder="1"/>
    <xf numFmtId="3" fontId="73" fillId="10" borderId="701" xfId="0" applyNumberFormat="1" applyFont="1" applyFill="1" applyBorder="1"/>
    <xf numFmtId="0" fontId="38" fillId="0" borderId="711" xfId="0" applyFont="1" applyBorder="1" applyAlignment="1">
      <alignment horizontal="center" wrapText="1"/>
    </xf>
    <xf numFmtId="0" fontId="4" fillId="3" borderId="712" xfId="0" applyFont="1" applyFill="1" applyBorder="1" applyAlignment="1">
      <alignment horizontal="center"/>
    </xf>
    <xf numFmtId="0" fontId="4" fillId="3" borderId="660" xfId="0" applyFont="1" applyFill="1" applyBorder="1" applyAlignment="1">
      <alignment horizontal="center"/>
    </xf>
    <xf numFmtId="0" fontId="38" fillId="3" borderId="662" xfId="0" applyFont="1" applyFill="1" applyBorder="1"/>
    <xf numFmtId="1" fontId="42" fillId="3" borderId="682" xfId="15" applyNumberFormat="1" applyFont="1" applyFill="1" applyBorder="1" applyAlignment="1" applyProtection="1">
      <alignment horizontal="center"/>
    </xf>
    <xf numFmtId="0" fontId="104" fillId="0" borderId="714" xfId="0" applyFont="1" applyBorder="1" applyAlignment="1">
      <alignment horizontal="center" wrapText="1"/>
    </xf>
    <xf numFmtId="0" fontId="30" fillId="0" borderId="714" xfId="0" applyFont="1" applyBorder="1" applyAlignment="1">
      <alignment horizontal="center"/>
    </xf>
    <xf numFmtId="1" fontId="42" fillId="3" borderId="662" xfId="15" applyNumberFormat="1" applyFont="1" applyFill="1" applyBorder="1" applyAlignment="1" applyProtection="1">
      <alignment horizontal="center"/>
    </xf>
    <xf numFmtId="3" fontId="134" fillId="33" borderId="45" xfId="10" applyFont="1" applyFill="1" applyBorder="1" applyAlignment="1" applyProtection="1">
      <protection locked="0"/>
    </xf>
    <xf numFmtId="1" fontId="42" fillId="3" borderId="687" xfId="15" applyNumberFormat="1" applyFont="1" applyFill="1" applyBorder="1" applyAlignment="1" applyProtection="1">
      <alignment horizontal="center"/>
    </xf>
    <xf numFmtId="3" fontId="138" fillId="33" borderId="45" xfId="0" applyNumberFormat="1" applyFont="1" applyFill="1" applyBorder="1" applyProtection="1">
      <protection locked="0"/>
    </xf>
    <xf numFmtId="0" fontId="4" fillId="3" borderId="686" xfId="0" applyFont="1" applyFill="1" applyBorder="1" applyAlignment="1">
      <alignment horizontal="left"/>
    </xf>
    <xf numFmtId="0" fontId="38" fillId="3" borderId="692" xfId="0" applyFont="1" applyFill="1" applyBorder="1"/>
    <xf numFmtId="0" fontId="73" fillId="10" borderId="683" xfId="0" applyFont="1" applyFill="1" applyBorder="1"/>
    <xf numFmtId="3" fontId="73" fillId="10" borderId="709" xfId="10" applyFont="1" applyFill="1" applyBorder="1" applyAlignment="1"/>
    <xf numFmtId="0" fontId="73" fillId="76" borderId="615" xfId="0" applyFont="1" applyFill="1" applyBorder="1"/>
    <xf numFmtId="0" fontId="73" fillId="76" borderId="613" xfId="0" applyFont="1" applyFill="1" applyBorder="1" applyAlignment="1">
      <alignment horizontal="left"/>
    </xf>
    <xf numFmtId="0" fontId="73" fillId="76" borderId="613" xfId="0" applyFont="1" applyFill="1" applyBorder="1"/>
    <xf numFmtId="3" fontId="73" fillId="76" borderId="711" xfId="0" applyNumberFormat="1" applyFont="1" applyFill="1" applyBorder="1"/>
    <xf numFmtId="3" fontId="4" fillId="3" borderId="690" xfId="15" applyFont="1" applyFill="1" applyBorder="1" applyAlignment="1" applyProtection="1">
      <alignment horizontal="center"/>
    </xf>
    <xf numFmtId="3" fontId="4" fillId="3" borderId="691" xfId="15" applyFont="1" applyFill="1" applyBorder="1" applyAlignment="1" applyProtection="1">
      <alignment horizontal="left"/>
    </xf>
    <xf numFmtId="3" fontId="38" fillId="3" borderId="692" xfId="15" applyFont="1" applyFill="1" applyBorder="1" applyAlignment="1" applyProtection="1"/>
    <xf numFmtId="3" fontId="4" fillId="0" borderId="715" xfId="15" applyFont="1" applyFill="1" applyBorder="1" applyAlignment="1" applyProtection="1">
      <alignment horizontal="center"/>
    </xf>
    <xf numFmtId="3" fontId="4" fillId="33" borderId="716" xfId="15" applyFont="1" applyFill="1" applyBorder="1" applyAlignment="1" applyProtection="1">
      <alignment horizontal="left"/>
      <protection locked="0"/>
    </xf>
    <xf numFmtId="3" fontId="134" fillId="33" borderId="702" xfId="0" applyNumberFormat="1" applyFont="1" applyFill="1" applyBorder="1" applyProtection="1">
      <protection locked="0"/>
    </xf>
    <xf numFmtId="3" fontId="4" fillId="0" borderId="642" xfId="15" applyFont="1" applyFill="1" applyBorder="1" applyAlignment="1" applyProtection="1">
      <alignment horizontal="center"/>
    </xf>
    <xf numFmtId="0" fontId="67" fillId="18" borderId="707" xfId="0" applyFont="1" applyFill="1" applyBorder="1" applyAlignment="1">
      <alignment horizontal="left"/>
    </xf>
    <xf numFmtId="0" fontId="67" fillId="18" borderId="509" xfId="0" applyFont="1" applyFill="1" applyBorder="1" applyAlignment="1">
      <alignment horizontal="left"/>
    </xf>
    <xf numFmtId="3" fontId="73" fillId="18" borderId="607" xfId="15" applyFont="1" applyFill="1" applyBorder="1" applyAlignment="1" applyProtection="1"/>
    <xf numFmtId="3" fontId="73" fillId="10" borderId="717" xfId="1" applyNumberFormat="1" applyFont="1" applyFill="1" applyBorder="1" applyAlignment="1" applyProtection="1"/>
    <xf numFmtId="3" fontId="43" fillId="7" borderId="685" xfId="1" applyNumberFormat="1" applyFont="1" applyFill="1" applyBorder="1" applyAlignment="1" applyProtection="1"/>
    <xf numFmtId="3" fontId="43" fillId="7" borderId="45" xfId="1" applyNumberFormat="1" applyFont="1" applyFill="1" applyBorder="1" applyAlignment="1" applyProtection="1"/>
    <xf numFmtId="3" fontId="43" fillId="7" borderId="68" xfId="1" applyNumberFormat="1" applyFont="1" applyFill="1" applyBorder="1" applyAlignment="1" applyProtection="1"/>
    <xf numFmtId="3" fontId="104" fillId="7" borderId="45" xfId="10" applyFont="1" applyFill="1" applyBorder="1" applyAlignment="1"/>
    <xf numFmtId="3" fontId="104" fillId="33" borderId="45" xfId="10" applyFont="1" applyFill="1" applyBorder="1" applyAlignment="1" applyProtection="1">
      <protection locked="0"/>
    </xf>
    <xf numFmtId="3" fontId="134" fillId="7" borderId="45" xfId="1" applyNumberFormat="1" applyFont="1" applyFill="1" applyBorder="1" applyAlignment="1" applyProtection="1"/>
    <xf numFmtId="3" fontId="134" fillId="7" borderId="45" xfId="10" applyFont="1" applyFill="1" applyBorder="1" applyAlignment="1"/>
    <xf numFmtId="0" fontId="104" fillId="0" borderId="720" xfId="0" applyFont="1" applyBorder="1" applyAlignment="1">
      <alignment horizontal="center" wrapText="1"/>
    </xf>
    <xf numFmtId="0" fontId="4" fillId="0" borderId="721" xfId="0" applyFont="1" applyBorder="1" applyAlignment="1">
      <alignment horizontal="center"/>
    </xf>
    <xf numFmtId="3" fontId="73" fillId="10" borderId="699" xfId="10" applyFont="1" applyFill="1" applyBorder="1" applyAlignment="1"/>
    <xf numFmtId="3" fontId="73" fillId="10" borderId="687" xfId="10" applyFont="1" applyFill="1" applyBorder="1" applyAlignment="1"/>
    <xf numFmtId="0" fontId="4" fillId="3" borderId="687" xfId="0" applyFont="1" applyFill="1" applyBorder="1" applyAlignment="1">
      <alignment horizontal="left"/>
    </xf>
    <xf numFmtId="3" fontId="73" fillId="10" borderId="695" xfId="1" applyNumberFormat="1" applyFont="1" applyFill="1" applyBorder="1" applyAlignment="1" applyProtection="1"/>
    <xf numFmtId="3" fontId="73" fillId="10" borderId="695" xfId="10" applyFont="1" applyFill="1" applyBorder="1" applyAlignment="1"/>
    <xf numFmtId="3" fontId="73" fillId="10" borderId="696" xfId="10" applyFont="1" applyFill="1" applyBorder="1" applyAlignment="1"/>
    <xf numFmtId="0" fontId="73" fillId="10" borderId="722" xfId="0" applyFont="1" applyFill="1" applyBorder="1"/>
    <xf numFmtId="0" fontId="67" fillId="18" borderId="723" xfId="0" applyFont="1" applyFill="1" applyBorder="1"/>
    <xf numFmtId="0" fontId="67" fillId="18" borderId="709" xfId="0" applyFont="1" applyFill="1" applyBorder="1" applyAlignment="1">
      <alignment horizontal="left"/>
    </xf>
    <xf numFmtId="3" fontId="73" fillId="18" borderId="709" xfId="10" applyFont="1" applyFill="1" applyBorder="1" applyAlignment="1"/>
    <xf numFmtId="3" fontId="73" fillId="10" borderId="724" xfId="10" applyFont="1" applyFill="1" applyBorder="1" applyAlignment="1"/>
    <xf numFmtId="3" fontId="73" fillId="29" borderId="509" xfId="10" applyFont="1" applyFill="1" applyBorder="1" applyAlignment="1"/>
    <xf numFmtId="3" fontId="73" fillId="10" borderId="725" xfId="10" applyFont="1" applyFill="1" applyBorder="1" applyAlignment="1"/>
    <xf numFmtId="3" fontId="4" fillId="3" borderId="726" xfId="15" applyFont="1" applyFill="1" applyBorder="1" applyAlignment="1" applyProtection="1">
      <alignment horizontal="left"/>
    </xf>
    <xf numFmtId="3" fontId="38" fillId="3" borderId="691" xfId="15" applyFont="1" applyFill="1" applyBorder="1" applyAlignment="1" applyProtection="1"/>
    <xf numFmtId="3" fontId="4" fillId="0" borderId="618" xfId="15" applyFont="1" applyFill="1" applyBorder="1" applyAlignment="1" applyProtection="1">
      <alignment horizontal="center"/>
    </xf>
    <xf numFmtId="3" fontId="4" fillId="0" borderId="225" xfId="15" applyFont="1" applyFill="1" applyBorder="1" applyAlignment="1" applyProtection="1">
      <alignment horizontal="center"/>
    </xf>
    <xf numFmtId="3" fontId="67" fillId="18" borderId="727" xfId="15" applyFont="1" applyFill="1" applyBorder="1" applyAlignment="1" applyProtection="1">
      <alignment horizontal="center"/>
    </xf>
    <xf numFmtId="3" fontId="67" fillId="18" borderId="728" xfId="15" applyFont="1" applyFill="1" applyBorder="1" applyAlignment="1" applyProtection="1">
      <alignment horizontal="left"/>
    </xf>
    <xf numFmtId="3" fontId="67" fillId="24" borderId="729" xfId="15" applyFont="1" applyFill="1" applyBorder="1" applyAlignment="1" applyProtection="1"/>
    <xf numFmtId="3" fontId="73" fillId="10" borderId="730" xfId="1" applyNumberFormat="1" applyFont="1" applyFill="1" applyBorder="1" applyAlignment="1" applyProtection="1"/>
    <xf numFmtId="0" fontId="4" fillId="3" borderId="731" xfId="0" applyFont="1" applyFill="1" applyBorder="1" applyAlignment="1">
      <alignment horizontal="center"/>
    </xf>
    <xf numFmtId="3" fontId="4" fillId="3" borderId="732" xfId="0" applyNumberFormat="1" applyFont="1" applyFill="1" applyBorder="1" applyAlignment="1">
      <alignment horizontal="left"/>
    </xf>
    <xf numFmtId="0" fontId="38" fillId="3" borderId="718" xfId="0" applyFont="1" applyFill="1" applyBorder="1"/>
    <xf numFmtId="1" fontId="42" fillId="3" borderId="733" xfId="15" applyNumberFormat="1" applyFont="1" applyFill="1" applyBorder="1" applyAlignment="1" applyProtection="1">
      <alignment horizontal="center"/>
    </xf>
    <xf numFmtId="0" fontId="4" fillId="0" borderId="715" xfId="0" applyFont="1" applyBorder="1" applyAlignment="1">
      <alignment horizontal="center"/>
    </xf>
    <xf numFmtId="0" fontId="4" fillId="33" borderId="716" xfId="0" applyFont="1" applyFill="1" applyBorder="1" applyAlignment="1" applyProtection="1">
      <alignment horizontal="left"/>
      <protection locked="0"/>
    </xf>
    <xf numFmtId="3" fontId="138" fillId="33" borderId="702" xfId="1" applyNumberFormat="1" applyFont="1" applyFill="1" applyBorder="1" applyAlignment="1" applyProtection="1">
      <protection locked="0"/>
    </xf>
    <xf numFmtId="0" fontId="67" fillId="18" borderId="698" xfId="0" applyFont="1" applyFill="1" applyBorder="1" applyAlignment="1">
      <alignment horizontal="left"/>
    </xf>
    <xf numFmtId="0" fontId="67" fillId="18" borderId="699" xfId="0" applyFont="1" applyFill="1" applyBorder="1" applyAlignment="1">
      <alignment horizontal="left"/>
    </xf>
    <xf numFmtId="3" fontId="67" fillId="18" borderId="722" xfId="1" applyNumberFormat="1" applyFont="1" applyFill="1" applyBorder="1" applyAlignment="1" applyProtection="1"/>
    <xf numFmtId="3" fontId="4" fillId="3" borderId="699" xfId="0" applyNumberFormat="1" applyFont="1" applyFill="1" applyBorder="1" applyAlignment="1">
      <alignment horizontal="left"/>
    </xf>
    <xf numFmtId="3" fontId="43" fillId="33" borderId="702" xfId="1" applyNumberFormat="1" applyFont="1" applyFill="1" applyBorder="1" applyAlignment="1" applyProtection="1">
      <protection locked="0"/>
    </xf>
    <xf numFmtId="0" fontId="67" fillId="18" borderId="695" xfId="0" applyFont="1" applyFill="1" applyBorder="1" applyAlignment="1">
      <alignment horizontal="left"/>
    </xf>
    <xf numFmtId="3" fontId="67" fillId="18" borderId="695" xfId="1" applyNumberFormat="1" applyFont="1" applyFill="1" applyBorder="1" applyAlignment="1" applyProtection="1"/>
    <xf numFmtId="0" fontId="67" fillId="18" borderId="694" xfId="0" applyFont="1" applyFill="1" applyBorder="1" applyAlignment="1">
      <alignment horizontal="left"/>
    </xf>
    <xf numFmtId="0" fontId="73" fillId="24" borderId="703" xfId="0" applyFont="1" applyFill="1" applyBorder="1"/>
    <xf numFmtId="0" fontId="73" fillId="24" borderId="704" xfId="0" applyFont="1" applyFill="1" applyBorder="1" applyAlignment="1">
      <alignment horizontal="left"/>
    </xf>
    <xf numFmtId="3" fontId="73" fillId="24" borderId="704" xfId="1" applyNumberFormat="1" applyFont="1" applyFill="1" applyBorder="1" applyAlignment="1" applyProtection="1"/>
    <xf numFmtId="3" fontId="73" fillId="24" borderId="735" xfId="1" applyNumberFormat="1" applyFont="1" applyFill="1" applyBorder="1" applyAlignment="1" applyProtection="1"/>
    <xf numFmtId="3" fontId="73" fillId="10" borderId="736" xfId="1" applyNumberFormat="1" applyFont="1" applyFill="1" applyBorder="1" applyAlignment="1" applyProtection="1"/>
    <xf numFmtId="3" fontId="73" fillId="76" borderId="0" xfId="10" applyFont="1" applyFill="1" applyBorder="1" applyAlignment="1">
      <alignment horizontal="center"/>
    </xf>
    <xf numFmtId="3" fontId="73" fillId="76" borderId="0" xfId="10" applyFont="1" applyFill="1" applyBorder="1" applyAlignment="1">
      <alignment horizontal="left"/>
    </xf>
    <xf numFmtId="3" fontId="73" fillId="76" borderId="0" xfId="10" applyFont="1" applyFill="1" applyBorder="1" applyAlignment="1"/>
    <xf numFmtId="0" fontId="73" fillId="76" borderId="0" xfId="0" applyFont="1" applyFill="1" applyAlignment="1">
      <alignment horizontal="center"/>
    </xf>
    <xf numFmtId="0" fontId="0" fillId="3" borderId="18" xfId="0" applyFill="1" applyBorder="1" applyAlignment="1">
      <alignment horizontal="center" wrapText="1"/>
    </xf>
    <xf numFmtId="0" fontId="0" fillId="3" borderId="67" xfId="0" applyFill="1" applyBorder="1" applyAlignment="1">
      <alignment horizontal="center" vertical="center" wrapText="1"/>
    </xf>
    <xf numFmtId="3" fontId="0" fillId="33" borderId="738" xfId="0" applyNumberFormat="1" applyFill="1" applyBorder="1" applyProtection="1">
      <protection locked="0"/>
    </xf>
    <xf numFmtId="0" fontId="0" fillId="3" borderId="718" xfId="0" applyFill="1" applyBorder="1" applyAlignment="1">
      <alignment horizontal="center" wrapText="1"/>
    </xf>
    <xf numFmtId="3" fontId="34" fillId="33" borderId="45" xfId="1" applyNumberFormat="1" applyFont="1" applyFill="1" applyBorder="1" applyAlignment="1" applyProtection="1">
      <protection locked="0"/>
    </xf>
    <xf numFmtId="3" fontId="69" fillId="10" borderId="739" xfId="1" applyNumberFormat="1" applyFont="1" applyFill="1" applyBorder="1" applyAlignment="1" applyProtection="1"/>
    <xf numFmtId="3" fontId="69" fillId="10" borderId="740" xfId="1" applyNumberFormat="1" applyFont="1" applyFill="1" applyBorder="1" applyAlignment="1" applyProtection="1"/>
    <xf numFmtId="3" fontId="69" fillId="10" borderId="741" xfId="1" applyNumberFormat="1" applyFont="1" applyFill="1" applyBorder="1" applyAlignment="1" applyProtection="1"/>
    <xf numFmtId="0" fontId="173" fillId="11" borderId="658" xfId="0" applyFont="1" applyFill="1" applyBorder="1" applyAlignment="1">
      <alignment horizontal="center" vertical="top" wrapText="1"/>
    </xf>
    <xf numFmtId="0" fontId="173" fillId="11" borderId="680" xfId="0" applyFont="1" applyFill="1" applyBorder="1" applyAlignment="1">
      <alignment horizontal="center" vertical="top" wrapText="1"/>
    </xf>
    <xf numFmtId="3" fontId="69" fillId="10" borderId="742" xfId="1" applyNumberFormat="1" applyFont="1" applyFill="1" applyBorder="1" applyAlignment="1" applyProtection="1"/>
    <xf numFmtId="3" fontId="69" fillId="10" borderId="734" xfId="1" applyNumberFormat="1" applyFont="1" applyFill="1" applyBorder="1" applyAlignment="1" applyProtection="1"/>
    <xf numFmtId="0" fontId="173" fillId="11" borderId="737" xfId="0" applyFont="1" applyFill="1" applyBorder="1" applyAlignment="1">
      <alignment horizontal="center" vertical="top" wrapText="1"/>
    </xf>
    <xf numFmtId="0" fontId="173" fillId="11" borderId="693" xfId="0" applyFont="1" applyFill="1" applyBorder="1" applyAlignment="1">
      <alignment horizontal="center" vertical="top" wrapText="1"/>
    </xf>
    <xf numFmtId="3" fontId="69" fillId="10" borderId="737" xfId="1" applyNumberFormat="1" applyFont="1" applyFill="1" applyBorder="1" applyAlignment="1" applyProtection="1"/>
    <xf numFmtId="3" fontId="69" fillId="10" borderId="693" xfId="1" applyNumberFormat="1" applyFont="1" applyFill="1" applyBorder="1" applyAlignment="1" applyProtection="1"/>
    <xf numFmtId="3" fontId="69" fillId="10" borderId="557" xfId="1" applyNumberFormat="1" applyFont="1" applyFill="1" applyBorder="1" applyAlignment="1" applyProtection="1"/>
    <xf numFmtId="3" fontId="69" fillId="10" borderId="590" xfId="1" applyNumberFormat="1" applyFont="1" applyFill="1" applyBorder="1" applyAlignment="1" applyProtection="1"/>
    <xf numFmtId="0" fontId="67" fillId="18" borderId="703" xfId="0" applyFont="1" applyFill="1" applyBorder="1" applyAlignment="1">
      <alignment horizontal="left"/>
    </xf>
    <xf numFmtId="0" fontId="67" fillId="18" borderId="704" xfId="0" applyFont="1" applyFill="1" applyBorder="1" applyAlignment="1">
      <alignment horizontal="left"/>
    </xf>
    <xf numFmtId="3" fontId="67" fillId="18" borderId="735" xfId="15" applyFont="1" applyFill="1" applyBorder="1" applyAlignment="1" applyProtection="1"/>
    <xf numFmtId="3" fontId="73" fillId="10" borderId="743" xfId="1" applyNumberFormat="1" applyFont="1" applyFill="1" applyBorder="1" applyAlignment="1" applyProtection="1"/>
    <xf numFmtId="0" fontId="0" fillId="0" borderId="611" xfId="0" applyBorder="1" applyAlignment="1">
      <alignment horizontal="center" wrapText="1"/>
    </xf>
    <xf numFmtId="0" fontId="0" fillId="0" borderId="737" xfId="0" applyBorder="1" applyProtection="1">
      <protection locked="0"/>
    </xf>
    <xf numFmtId="0" fontId="0" fillId="0" borderId="693" xfId="0" applyBorder="1" applyProtection="1">
      <protection locked="0"/>
    </xf>
    <xf numFmtId="38" fontId="0" fillId="0" borderId="737" xfId="3" applyNumberFormat="1" applyFont="1" applyFill="1" applyBorder="1" applyAlignment="1" applyProtection="1">
      <protection locked="0"/>
    </xf>
    <xf numFmtId="38" fontId="0" fillId="0" borderId="693" xfId="20" applyNumberFormat="1" applyFont="1" applyBorder="1" applyProtection="1">
      <protection locked="0"/>
    </xf>
    <xf numFmtId="3" fontId="67" fillId="10" borderId="696" xfId="1" applyNumberFormat="1" applyFont="1" applyFill="1" applyBorder="1" applyAlignment="1" applyProtection="1"/>
    <xf numFmtId="0" fontId="135" fillId="11" borderId="428" xfId="0" applyFont="1" applyFill="1" applyBorder="1" applyAlignment="1">
      <alignment horizontal="center"/>
    </xf>
    <xf numFmtId="3" fontId="135" fillId="0" borderId="744" xfId="1" applyNumberFormat="1" applyFont="1" applyFill="1" applyBorder="1" applyAlignment="1" applyProtection="1">
      <protection locked="0"/>
    </xf>
    <xf numFmtId="3" fontId="73" fillId="76" borderId="516" xfId="1" applyNumberFormat="1" applyFont="1" applyFill="1" applyBorder="1" applyAlignment="1" applyProtection="1"/>
    <xf numFmtId="0" fontId="135" fillId="11" borderId="516" xfId="0" applyFont="1" applyFill="1" applyBorder="1" applyAlignment="1">
      <alignment horizontal="center"/>
    </xf>
    <xf numFmtId="3" fontId="143" fillId="0" borderId="744" xfId="1" applyNumberFormat="1" applyFont="1" applyFill="1" applyBorder="1" applyAlignment="1" applyProtection="1">
      <protection locked="0"/>
    </xf>
    <xf numFmtId="3" fontId="73" fillId="76" borderId="745" xfId="1" applyNumberFormat="1" applyFont="1" applyFill="1" applyBorder="1" applyAlignment="1" applyProtection="1"/>
    <xf numFmtId="0" fontId="135" fillId="11" borderId="746" xfId="0" applyFont="1" applyFill="1" applyBorder="1" applyAlignment="1">
      <alignment horizontal="center"/>
    </xf>
    <xf numFmtId="3" fontId="172" fillId="78" borderId="516" xfId="0" applyNumberFormat="1" applyFont="1" applyFill="1" applyBorder="1"/>
    <xf numFmtId="3" fontId="143" fillId="0" borderId="514" xfId="1" applyNumberFormat="1" applyFont="1" applyFill="1" applyBorder="1" applyAlignment="1" applyProtection="1">
      <protection locked="0"/>
    </xf>
    <xf numFmtId="3" fontId="73" fillId="10" borderId="687" xfId="1" applyNumberFormat="1" applyFont="1" applyFill="1" applyBorder="1" applyAlignment="1" applyProtection="1"/>
    <xf numFmtId="0" fontId="143" fillId="11" borderId="746" xfId="0" applyFont="1" applyFill="1" applyBorder="1" applyAlignment="1">
      <alignment horizontal="center"/>
    </xf>
    <xf numFmtId="0" fontId="143" fillId="0" borderId="744" xfId="0" applyFont="1" applyBorder="1" applyProtection="1">
      <protection locked="0"/>
    </xf>
    <xf numFmtId="0" fontId="143" fillId="11" borderId="747" xfId="0" applyFont="1" applyFill="1" applyBorder="1" applyAlignment="1">
      <alignment horizontal="center"/>
    </xf>
    <xf numFmtId="0" fontId="143" fillId="6" borderId="747" xfId="0" applyFont="1" applyFill="1" applyBorder="1" applyProtection="1">
      <protection locked="0"/>
    </xf>
    <xf numFmtId="3" fontId="172" fillId="78" borderId="745" xfId="0" applyNumberFormat="1" applyFont="1" applyFill="1" applyBorder="1"/>
    <xf numFmtId="0" fontId="143" fillId="0" borderId="747" xfId="0" applyFont="1" applyBorder="1" applyProtection="1">
      <protection locked="0"/>
    </xf>
    <xf numFmtId="0" fontId="143" fillId="0" borderId="514" xfId="0" applyFont="1" applyBorder="1" applyProtection="1">
      <protection locked="0"/>
    </xf>
    <xf numFmtId="3" fontId="73" fillId="76" borderId="610" xfId="1" applyNumberFormat="1" applyFont="1" applyFill="1" applyBorder="1" applyAlignment="1" applyProtection="1"/>
    <xf numFmtId="0" fontId="143" fillId="6" borderId="744" xfId="0" applyFont="1" applyFill="1" applyBorder="1" applyProtection="1">
      <protection locked="0"/>
    </xf>
    <xf numFmtId="3" fontId="73" fillId="76" borderId="748" xfId="1" applyNumberFormat="1" applyFont="1" applyFill="1" applyBorder="1" applyAlignment="1" applyProtection="1"/>
    <xf numFmtId="3" fontId="73" fillId="10" borderId="745" xfId="1" applyNumberFormat="1" applyFont="1" applyFill="1" applyBorder="1" applyAlignment="1" applyProtection="1"/>
    <xf numFmtId="0" fontId="4" fillId="3" borderId="749" xfId="0" applyFont="1" applyFill="1" applyBorder="1" applyAlignment="1">
      <alignment horizontal="center"/>
    </xf>
    <xf numFmtId="0" fontId="4" fillId="3" borderId="750" xfId="0" applyFont="1" applyFill="1" applyBorder="1" applyAlignment="1">
      <alignment horizontal="center"/>
    </xf>
    <xf numFmtId="0" fontId="38" fillId="3" borderId="688" xfId="0" applyFont="1" applyFill="1" applyBorder="1"/>
    <xf numFmtId="1" fontId="42" fillId="3" borderId="751" xfId="15" applyNumberFormat="1" applyFont="1" applyFill="1" applyBorder="1" applyAlignment="1" applyProtection="1">
      <alignment horizontal="center"/>
    </xf>
    <xf numFmtId="0" fontId="4" fillId="0" borderId="752" xfId="0" applyFont="1" applyBorder="1" applyAlignment="1">
      <alignment horizontal="center"/>
    </xf>
    <xf numFmtId="0" fontId="4" fillId="33" borderId="753" xfId="0" applyFont="1" applyFill="1" applyBorder="1" applyAlignment="1" applyProtection="1">
      <alignment horizontal="left"/>
      <protection locked="0"/>
    </xf>
    <xf numFmtId="3" fontId="134" fillId="33" borderId="754" xfId="0" applyNumberFormat="1" applyFont="1" applyFill="1" applyBorder="1" applyProtection="1">
      <protection locked="0"/>
    </xf>
    <xf numFmtId="3" fontId="134" fillId="33" borderId="754" xfId="1" applyNumberFormat="1" applyFont="1" applyFill="1" applyBorder="1" applyAlignment="1" applyProtection="1">
      <protection locked="0"/>
    </xf>
    <xf numFmtId="0" fontId="73" fillId="18" borderId="615" xfId="0" applyFont="1" applyFill="1" applyBorder="1" applyAlignment="1">
      <alignment horizontal="left"/>
    </xf>
    <xf numFmtId="0" fontId="73" fillId="18" borderId="613" xfId="0" applyFont="1" applyFill="1" applyBorder="1" applyAlignment="1">
      <alignment horizontal="left"/>
    </xf>
    <xf numFmtId="0" fontId="73" fillId="18" borderId="613" xfId="0" applyFont="1" applyFill="1" applyBorder="1"/>
    <xf numFmtId="3" fontId="73" fillId="10" borderId="755" xfId="1" applyNumberFormat="1" applyFont="1" applyFill="1" applyBorder="1" applyAlignment="1" applyProtection="1"/>
    <xf numFmtId="3" fontId="73" fillId="24" borderId="706" xfId="1" applyNumberFormat="1" applyFont="1" applyFill="1" applyBorder="1" applyAlignment="1" applyProtection="1"/>
    <xf numFmtId="1" fontId="42" fillId="3" borderId="756" xfId="15" applyNumberFormat="1" applyFont="1" applyFill="1" applyBorder="1" applyAlignment="1" applyProtection="1">
      <alignment horizontal="center"/>
    </xf>
    <xf numFmtId="3" fontId="73" fillId="10" borderId="613" xfId="0" applyNumberFormat="1" applyFont="1" applyFill="1" applyBorder="1"/>
    <xf numFmtId="3" fontId="135" fillId="30" borderId="746" xfId="10" applyFont="1" applyFill="1" applyBorder="1" applyAlignment="1">
      <alignment horizontal="center"/>
    </xf>
    <xf numFmtId="3" fontId="143" fillId="0" borderId="744" xfId="10" applyFont="1" applyFill="1" applyBorder="1" applyAlignment="1" applyProtection="1">
      <protection locked="0"/>
    </xf>
    <xf numFmtId="3" fontId="143" fillId="0" borderId="514" xfId="10" applyFont="1" applyFill="1" applyBorder="1" applyAlignment="1" applyProtection="1">
      <protection locked="0"/>
    </xf>
    <xf numFmtId="3" fontId="135" fillId="30" borderId="428" xfId="10" applyFont="1" applyFill="1" applyBorder="1" applyAlignment="1">
      <alignment horizontal="center"/>
    </xf>
    <xf numFmtId="0" fontId="4" fillId="0" borderId="757" xfId="0" applyFont="1" applyBorder="1" applyAlignment="1">
      <alignment horizontal="center"/>
    </xf>
    <xf numFmtId="3" fontId="135" fillId="30" borderId="758" xfId="10" applyFont="1" applyFill="1" applyBorder="1" applyAlignment="1">
      <alignment horizontal="center"/>
    </xf>
    <xf numFmtId="0" fontId="0" fillId="0" borderId="611" xfId="0" applyBorder="1" applyAlignment="1">
      <alignment horizontal="center" vertical="center" wrapText="1"/>
    </xf>
    <xf numFmtId="3" fontId="135" fillId="30" borderId="516" xfId="10" applyFont="1" applyFill="1" applyBorder="1" applyAlignment="1">
      <alignment horizontal="center"/>
    </xf>
    <xf numFmtId="1" fontId="42" fillId="3" borderId="759" xfId="15" applyNumberFormat="1" applyFont="1" applyFill="1" applyBorder="1" applyAlignment="1" applyProtection="1">
      <alignment horizontal="center"/>
    </xf>
    <xf numFmtId="3" fontId="135" fillId="11" borderId="744" xfId="10" applyFont="1" applyFill="1" applyBorder="1" applyAlignment="1">
      <alignment horizontal="center"/>
    </xf>
    <xf numFmtId="3" fontId="143" fillId="7" borderId="744" xfId="1" applyNumberFormat="1" applyFont="1" applyFill="1" applyBorder="1" applyAlignment="1" applyProtection="1"/>
    <xf numFmtId="3" fontId="135" fillId="30" borderId="744" xfId="10" applyFont="1" applyFill="1" applyBorder="1" applyAlignment="1">
      <alignment horizontal="center"/>
    </xf>
    <xf numFmtId="1" fontId="42" fillId="3" borderId="760" xfId="15" applyNumberFormat="1" applyFont="1" applyFill="1" applyBorder="1" applyAlignment="1" applyProtection="1">
      <alignment horizontal="center"/>
    </xf>
    <xf numFmtId="0" fontId="4" fillId="0" borderId="516" xfId="0" applyFont="1" applyBorder="1"/>
    <xf numFmtId="3" fontId="135" fillId="30" borderId="761" xfId="10" applyFont="1" applyFill="1" applyBorder="1" applyAlignment="1">
      <alignment horizontal="center"/>
    </xf>
    <xf numFmtId="1" fontId="43" fillId="16" borderId="763" xfId="0" applyNumberFormat="1" applyFont="1" applyFill="1" applyBorder="1" applyAlignment="1">
      <alignment horizontal="center"/>
    </xf>
    <xf numFmtId="3" fontId="134" fillId="33" borderId="687" xfId="0" applyNumberFormat="1" applyFont="1" applyFill="1" applyBorder="1" applyProtection="1">
      <protection locked="0"/>
    </xf>
    <xf numFmtId="3" fontId="134" fillId="33" borderId="696" xfId="0" applyNumberFormat="1" applyFont="1" applyFill="1" applyBorder="1" applyProtection="1">
      <protection locked="0"/>
    </xf>
    <xf numFmtId="0" fontId="4" fillId="33" borderId="763" xfId="0" applyFont="1" applyFill="1" applyBorder="1" applyProtection="1">
      <protection locked="0"/>
    </xf>
    <xf numFmtId="0" fontId="4" fillId="33" borderId="764" xfId="0" applyFont="1" applyFill="1" applyBorder="1" applyProtection="1">
      <protection locked="0"/>
    </xf>
    <xf numFmtId="1" fontId="43" fillId="16" borderId="768" xfId="0" applyNumberFormat="1" applyFont="1" applyFill="1" applyBorder="1" applyAlignment="1">
      <alignment horizontal="center"/>
    </xf>
    <xf numFmtId="3" fontId="134" fillId="33" borderId="769" xfId="0" applyNumberFormat="1" applyFont="1" applyFill="1" applyBorder="1" applyProtection="1">
      <protection locked="0"/>
    </xf>
    <xf numFmtId="1" fontId="43" fillId="16" borderId="773" xfId="0" applyNumberFormat="1" applyFont="1" applyFill="1" applyBorder="1" applyAlignment="1">
      <alignment horizontal="center"/>
    </xf>
    <xf numFmtId="1" fontId="43" fillId="16" borderId="774" xfId="0" applyNumberFormat="1" applyFont="1" applyFill="1" applyBorder="1" applyAlignment="1">
      <alignment horizontal="center"/>
    </xf>
    <xf numFmtId="3" fontId="134" fillId="33" borderId="695" xfId="0" applyNumberFormat="1" applyFont="1" applyFill="1" applyBorder="1" applyProtection="1">
      <protection locked="0"/>
    </xf>
    <xf numFmtId="3" fontId="134" fillId="33" borderId="699" xfId="0" applyNumberFormat="1" applyFont="1" applyFill="1" applyBorder="1" applyProtection="1">
      <protection locked="0"/>
    </xf>
    <xf numFmtId="1" fontId="42" fillId="3" borderId="613" xfId="15" applyNumberFormat="1" applyFont="1" applyFill="1" applyBorder="1" applyAlignment="1" applyProtection="1">
      <alignment horizontal="center"/>
    </xf>
    <xf numFmtId="3" fontId="134" fillId="33" borderId="377" xfId="1" applyNumberFormat="1" applyFont="1" applyFill="1" applyBorder="1" applyAlignment="1" applyProtection="1">
      <alignment shrinkToFit="1"/>
      <protection locked="0"/>
    </xf>
    <xf numFmtId="3" fontId="138" fillId="33" borderId="376" xfId="0" applyNumberFormat="1" applyFont="1" applyFill="1" applyBorder="1" applyProtection="1">
      <protection locked="0"/>
    </xf>
    <xf numFmtId="0" fontId="135" fillId="11" borderId="761" xfId="0" applyFont="1" applyFill="1" applyBorder="1" applyAlignment="1">
      <alignment horizontal="center"/>
    </xf>
    <xf numFmtId="0" fontId="135" fillId="11" borderId="611" xfId="0" applyFont="1" applyFill="1" applyBorder="1" applyAlignment="1">
      <alignment horizontal="center"/>
    </xf>
    <xf numFmtId="3" fontId="73" fillId="10" borderId="775" xfId="1" applyNumberFormat="1" applyFont="1" applyFill="1" applyBorder="1" applyAlignment="1" applyProtection="1">
      <protection locked="0"/>
    </xf>
    <xf numFmtId="1" fontId="42" fillId="3" borderId="776" xfId="15" applyNumberFormat="1" applyFont="1" applyFill="1" applyBorder="1" applyAlignment="1" applyProtection="1">
      <alignment horizontal="center"/>
    </xf>
    <xf numFmtId="3" fontId="73" fillId="10" borderId="775" xfId="1" applyNumberFormat="1" applyFont="1" applyFill="1" applyBorder="1" applyAlignment="1" applyProtection="1"/>
    <xf numFmtId="3" fontId="73" fillId="10" borderId="777" xfId="1" applyNumberFormat="1" applyFont="1" applyFill="1" applyBorder="1" applyAlignment="1" applyProtection="1"/>
    <xf numFmtId="1" fontId="42" fillId="3" borderId="636" xfId="15" applyNumberFormat="1" applyFont="1" applyFill="1" applyBorder="1" applyAlignment="1" applyProtection="1">
      <alignment horizontal="center"/>
    </xf>
    <xf numFmtId="3" fontId="73" fillId="10" borderId="74" xfId="1" applyNumberFormat="1" applyFont="1" applyFill="1" applyBorder="1" applyAlignment="1" applyProtection="1"/>
    <xf numFmtId="3" fontId="138" fillId="33" borderId="685" xfId="1" applyNumberFormat="1" applyFont="1" applyFill="1" applyBorder="1" applyAlignment="1" applyProtection="1">
      <protection locked="0"/>
    </xf>
    <xf numFmtId="1" fontId="42" fillId="3" borderId="778" xfId="15" applyNumberFormat="1" applyFont="1" applyFill="1" applyBorder="1" applyAlignment="1" applyProtection="1">
      <alignment horizontal="center"/>
    </xf>
    <xf numFmtId="3" fontId="43" fillId="7" borderId="779" xfId="1" applyNumberFormat="1" applyFont="1" applyFill="1" applyBorder="1" applyAlignment="1" applyProtection="1"/>
    <xf numFmtId="3" fontId="143" fillId="0" borderId="746" xfId="1" applyNumberFormat="1" applyFont="1" applyFill="1" applyBorder="1" applyAlignment="1" applyProtection="1">
      <protection locked="0"/>
    </xf>
    <xf numFmtId="0" fontId="135" fillId="0" borderId="744" xfId="0" applyFont="1" applyBorder="1" applyProtection="1">
      <protection locked="0"/>
    </xf>
    <xf numFmtId="3" fontId="40" fillId="0" borderId="745" xfId="1" applyNumberFormat="1" applyFont="1" applyFill="1" applyBorder="1" applyAlignment="1" applyProtection="1">
      <protection locked="0"/>
    </xf>
    <xf numFmtId="0" fontId="143" fillId="0" borderId="758" xfId="0" applyFont="1" applyBorder="1" applyProtection="1">
      <protection locked="0"/>
    </xf>
    <xf numFmtId="0" fontId="71" fillId="55" borderId="713" xfId="0" applyFont="1" applyFill="1" applyBorder="1"/>
    <xf numFmtId="0" fontId="174" fillId="55" borderId="713" xfId="0" applyFont="1" applyFill="1" applyBorder="1"/>
    <xf numFmtId="0" fontId="2" fillId="55" borderId="714" xfId="0" applyFont="1" applyFill="1" applyBorder="1" applyAlignment="1" applyProtection="1">
      <alignment horizontal="center"/>
      <protection locked="0"/>
    </xf>
    <xf numFmtId="0" fontId="2" fillId="55" borderId="616" xfId="0" applyFont="1" applyFill="1" applyBorder="1" applyAlignment="1" applyProtection="1">
      <alignment horizontal="center"/>
      <protection locked="0"/>
    </xf>
    <xf numFmtId="0" fontId="2" fillId="55" borderId="714" xfId="0" applyFont="1" applyFill="1" applyBorder="1" applyAlignment="1">
      <alignment horizontal="center"/>
    </xf>
    <xf numFmtId="0" fontId="2" fillId="55" borderId="616" xfId="0" applyFont="1" applyFill="1" applyBorder="1" applyAlignment="1">
      <alignment horizontal="center"/>
    </xf>
    <xf numFmtId="3" fontId="61" fillId="53" borderId="713" xfId="0" applyNumberFormat="1" applyFont="1" applyFill="1" applyBorder="1" applyProtection="1">
      <protection locked="0"/>
    </xf>
    <xf numFmtId="3" fontId="61" fillId="53" borderId="616" xfId="0" applyNumberFormat="1" applyFont="1" applyFill="1" applyBorder="1" applyProtection="1">
      <protection locked="0"/>
    </xf>
    <xf numFmtId="3" fontId="61" fillId="53" borderId="714" xfId="0" applyNumberFormat="1" applyFont="1" applyFill="1" applyBorder="1" applyProtection="1">
      <protection locked="0"/>
    </xf>
    <xf numFmtId="0" fontId="174" fillId="55" borderId="784" xfId="0" applyFont="1" applyFill="1" applyBorder="1"/>
    <xf numFmtId="3" fontId="61" fillId="55" borderId="714" xfId="0" applyNumberFormat="1" applyFont="1" applyFill="1" applyBorder="1"/>
    <xf numFmtId="3" fontId="3" fillId="33" borderId="652" xfId="0" applyNumberFormat="1" applyFont="1" applyFill="1" applyBorder="1" applyProtection="1">
      <protection locked="0"/>
    </xf>
    <xf numFmtId="3" fontId="3" fillId="33" borderId="785" xfId="2" applyNumberFormat="1" applyFont="1" applyFill="1" applyBorder="1" applyAlignment="1" applyProtection="1">
      <protection locked="0"/>
    </xf>
    <xf numFmtId="3" fontId="3" fillId="33" borderId="785" xfId="72" applyFill="1" applyBorder="1" applyAlignment="1" applyProtection="1">
      <alignment horizontal="right"/>
      <protection locked="0"/>
    </xf>
    <xf numFmtId="3" fontId="3" fillId="33" borderId="595" xfId="72" applyFill="1" applyBorder="1" applyAlignment="1" applyProtection="1">
      <alignment horizontal="right"/>
      <protection locked="0"/>
    </xf>
    <xf numFmtId="3" fontId="3" fillId="33" borderId="746" xfId="0" applyNumberFormat="1" applyFont="1" applyFill="1" applyBorder="1" applyProtection="1">
      <protection locked="0"/>
    </xf>
    <xf numFmtId="3" fontId="3" fillId="33" borderId="758" xfId="0" applyNumberFormat="1" applyFont="1" applyFill="1" applyBorder="1" applyProtection="1">
      <protection locked="0"/>
    </xf>
    <xf numFmtId="3" fontId="3" fillId="33" borderId="514" xfId="0" applyNumberFormat="1" applyFont="1" applyFill="1" applyBorder="1" applyProtection="1">
      <protection locked="0"/>
    </xf>
    <xf numFmtId="0" fontId="0" fillId="33" borderId="652" xfId="0" applyFill="1" applyBorder="1" applyAlignment="1" applyProtection="1">
      <alignment wrapText="1"/>
      <protection locked="0"/>
    </xf>
    <xf numFmtId="3" fontId="3" fillId="33" borderId="785" xfId="72" applyFill="1" applyBorder="1" applyAlignment="1" applyProtection="1">
      <protection locked="0"/>
    </xf>
    <xf numFmtId="3" fontId="3" fillId="33" borderId="595" xfId="2" applyNumberFormat="1" applyFont="1" applyFill="1" applyBorder="1" applyAlignment="1" applyProtection="1">
      <protection locked="0"/>
    </xf>
    <xf numFmtId="0" fontId="0" fillId="33" borderId="746" xfId="0" applyFill="1" applyBorder="1" applyAlignment="1" applyProtection="1">
      <alignment wrapText="1"/>
      <protection locked="0"/>
    </xf>
    <xf numFmtId="3" fontId="3" fillId="33" borderId="744" xfId="72" applyFill="1" applyBorder="1" applyAlignment="1" applyProtection="1">
      <protection locked="0"/>
    </xf>
    <xf numFmtId="3" fontId="3" fillId="33" borderId="514" xfId="72" applyFill="1" applyBorder="1" applyAlignment="1" applyProtection="1">
      <protection locked="0"/>
    </xf>
    <xf numFmtId="3" fontId="3" fillId="33" borderId="163" xfId="0" applyNumberFormat="1" applyFont="1" applyFill="1" applyBorder="1" applyProtection="1">
      <protection locked="0"/>
    </xf>
    <xf numFmtId="3" fontId="3" fillId="33" borderId="745" xfId="0" applyNumberFormat="1" applyFont="1" applyFill="1" applyBorder="1" applyProtection="1">
      <protection locked="0"/>
    </xf>
    <xf numFmtId="3" fontId="0" fillId="7" borderId="780" xfId="0" applyNumberFormat="1" applyFill="1" applyBorder="1"/>
    <xf numFmtId="3" fontId="0" fillId="7" borderId="781" xfId="0" applyNumberFormat="1" applyFill="1" applyBorder="1"/>
    <xf numFmtId="3" fontId="61" fillId="7" borderId="569" xfId="0" applyNumberFormat="1" applyFont="1" applyFill="1" applyBorder="1"/>
    <xf numFmtId="3" fontId="61" fillId="7" borderId="583" xfId="0" applyNumberFormat="1" applyFont="1" applyFill="1" applyBorder="1"/>
    <xf numFmtId="3" fontId="3" fillId="7" borderId="447" xfId="15" applyFont="1" applyFill="1" applyBorder="1" applyAlignment="1" applyProtection="1"/>
    <xf numFmtId="3" fontId="3" fillId="7" borderId="552" xfId="15" applyFont="1" applyFill="1" applyBorder="1" applyAlignment="1" applyProtection="1"/>
    <xf numFmtId="3" fontId="3" fillId="7" borderId="31" xfId="2" applyNumberFormat="1" applyFont="1" applyFill="1" applyBorder="1" applyAlignment="1" applyProtection="1"/>
    <xf numFmtId="0" fontId="100" fillId="7" borderId="392" xfId="45" applyFont="1" applyFill="1" applyBorder="1" applyAlignment="1">
      <alignment horizontal="left" wrapText="1"/>
    </xf>
    <xf numFmtId="0" fontId="100" fillId="33" borderId="786" xfId="45" applyFont="1" applyFill="1" applyBorder="1" applyAlignment="1" applyProtection="1">
      <alignment horizontal="center"/>
      <protection locked="0"/>
    </xf>
    <xf numFmtId="0" fontId="100" fillId="7" borderId="787" xfId="45" applyFont="1" applyFill="1" applyBorder="1" applyAlignment="1">
      <alignment horizontal="center"/>
    </xf>
    <xf numFmtId="176" fontId="100" fillId="7" borderId="786" xfId="45" applyNumberFormat="1" applyFont="1" applyFill="1" applyBorder="1" applyAlignment="1">
      <alignment horizontal="center"/>
    </xf>
    <xf numFmtId="0" fontId="100" fillId="7" borderId="786" xfId="45" applyFont="1" applyFill="1" applyBorder="1" applyAlignment="1">
      <alignment horizontal="center"/>
    </xf>
    <xf numFmtId="170" fontId="100" fillId="33" borderId="786" xfId="45" applyNumberFormat="1" applyFont="1" applyFill="1" applyBorder="1" applyAlignment="1" applyProtection="1">
      <alignment horizontal="center"/>
      <protection locked="0"/>
    </xf>
    <xf numFmtId="170" fontId="100" fillId="62" borderId="786" xfId="45" applyNumberFormat="1" applyFont="1" applyFill="1" applyBorder="1" applyAlignment="1" applyProtection="1">
      <alignment horizontal="center"/>
      <protection locked="0"/>
    </xf>
    <xf numFmtId="3" fontId="100" fillId="7" borderId="786" xfId="46" applyNumberFormat="1" applyFont="1" applyFill="1" applyBorder="1" applyAlignment="1">
      <alignment horizontal="right"/>
    </xf>
    <xf numFmtId="3" fontId="100" fillId="61" borderId="786" xfId="46" applyNumberFormat="1" applyFont="1" applyFill="1" applyBorder="1" applyAlignment="1">
      <alignment horizontal="right"/>
    </xf>
    <xf numFmtId="3" fontId="114" fillId="7" borderId="786" xfId="46" applyNumberFormat="1" applyFont="1" applyFill="1" applyBorder="1" applyAlignment="1">
      <alignment horizontal="right"/>
    </xf>
    <xf numFmtId="3" fontId="100" fillId="33" borderId="786" xfId="46" applyNumberFormat="1" applyFont="1" applyFill="1" applyBorder="1" applyAlignment="1" applyProtection="1">
      <protection locked="0"/>
    </xf>
    <xf numFmtId="3" fontId="100" fillId="7" borderId="786" xfId="46" applyNumberFormat="1" applyFont="1" applyFill="1" applyBorder="1" applyAlignment="1" applyProtection="1"/>
    <xf numFmtId="0" fontId="114" fillId="60" borderId="786" xfId="21" applyFont="1" applyFill="1" applyBorder="1" applyAlignment="1" applyProtection="1">
      <alignment wrapText="1"/>
      <protection locked="0"/>
    </xf>
    <xf numFmtId="0" fontId="100" fillId="7" borderId="684" xfId="45" applyFont="1" applyFill="1" applyBorder="1" applyAlignment="1">
      <alignment horizontal="left"/>
    </xf>
    <xf numFmtId="0" fontId="4" fillId="33" borderId="684" xfId="0" applyFont="1" applyFill="1" applyBorder="1" applyProtection="1">
      <protection locked="0"/>
    </xf>
    <xf numFmtId="0" fontId="4" fillId="27" borderId="788" xfId="0" applyFont="1" applyFill="1" applyBorder="1" applyAlignment="1">
      <alignment horizontal="left"/>
    </xf>
    <xf numFmtId="0" fontId="4" fillId="27" borderId="786" xfId="0" applyFont="1" applyFill="1" applyBorder="1" applyAlignment="1">
      <alignment horizontal="left"/>
    </xf>
    <xf numFmtId="3" fontId="137" fillId="15" borderId="684" xfId="0" applyNumberFormat="1" applyFont="1" applyFill="1" applyBorder="1" applyAlignment="1">
      <alignment horizontal="center"/>
    </xf>
    <xf numFmtId="3" fontId="143" fillId="7" borderId="744" xfId="10" applyFont="1" applyFill="1" applyBorder="1" applyAlignment="1"/>
    <xf numFmtId="3" fontId="104" fillId="7" borderId="744" xfId="10" applyFont="1" applyFill="1" applyBorder="1" applyAlignment="1"/>
    <xf numFmtId="3" fontId="143" fillId="7" borderId="514" xfId="10" applyFont="1" applyFill="1" applyBorder="1" applyAlignment="1"/>
    <xf numFmtId="3" fontId="104" fillId="7" borderId="790" xfId="10" applyFont="1" applyFill="1" applyBorder="1" applyAlignment="1"/>
    <xf numFmtId="0" fontId="3" fillId="0" borderId="658" xfId="0" applyFont="1" applyBorder="1" applyAlignment="1">
      <alignment vertical="top" wrapText="1"/>
    </xf>
    <xf numFmtId="0" fontId="2" fillId="7" borderId="680" xfId="0" applyFont="1" applyFill="1" applyBorder="1" applyAlignment="1">
      <alignment horizontal="center" wrapText="1"/>
    </xf>
    <xf numFmtId="0" fontId="3" fillId="0" borderId="737" xfId="0" applyFont="1" applyBorder="1" applyAlignment="1">
      <alignment vertical="top" wrapText="1"/>
    </xf>
    <xf numFmtId="0" fontId="3" fillId="7" borderId="693" xfId="0" applyFont="1" applyFill="1" applyBorder="1" applyAlignment="1">
      <alignment horizontal="right" wrapText="1"/>
    </xf>
    <xf numFmtId="0" fontId="3" fillId="0" borderId="557" xfId="0" applyFont="1" applyBorder="1" applyAlignment="1">
      <alignment vertical="top" wrapText="1"/>
    </xf>
    <xf numFmtId="183" fontId="3" fillId="7" borderId="590" xfId="0" applyNumberFormat="1" applyFont="1" applyFill="1" applyBorder="1" applyAlignment="1">
      <alignment horizontal="right" wrapText="1"/>
    </xf>
    <xf numFmtId="0" fontId="3" fillId="0" borderId="794" xfId="0" applyFont="1" applyBorder="1" applyAlignment="1">
      <alignment vertical="top" wrapText="1"/>
    </xf>
    <xf numFmtId="176" fontId="0" fillId="7" borderId="795" xfId="0" applyNumberFormat="1" applyFill="1" applyBorder="1" applyAlignment="1">
      <alignment horizontal="right"/>
    </xf>
    <xf numFmtId="0" fontId="3" fillId="0" borderId="796" xfId="0" applyFont="1" applyBorder="1" applyAlignment="1">
      <alignment vertical="top" wrapText="1"/>
    </xf>
    <xf numFmtId="176" fontId="0" fillId="33" borderId="797" xfId="0" applyNumberFormat="1" applyFill="1" applyBorder="1" applyAlignment="1" applyProtection="1">
      <alignment horizontal="right"/>
      <protection locked="0"/>
    </xf>
    <xf numFmtId="0" fontId="0" fillId="0" borderId="798" xfId="0" applyBorder="1"/>
    <xf numFmtId="176" fontId="13" fillId="7" borderId="799" xfId="74" applyNumberFormat="1" applyFont="1" applyFill="1" applyBorder="1" applyAlignment="1" applyProtection="1">
      <alignment horizontal="right"/>
    </xf>
    <xf numFmtId="0" fontId="105" fillId="0" borderId="116" xfId="0" applyFont="1" applyBorder="1"/>
    <xf numFmtId="0" fontId="2" fillId="61" borderId="786" xfId="0" applyFont="1" applyFill="1" applyBorder="1" applyAlignment="1">
      <alignment horizontal="center" wrapText="1"/>
    </xf>
    <xf numFmtId="0" fontId="2" fillId="61" borderId="592" xfId="0" applyFont="1" applyFill="1" applyBorder="1" applyAlignment="1">
      <alignment horizontal="center" wrapText="1"/>
    </xf>
    <xf numFmtId="176" fontId="0" fillId="61" borderId="791" xfId="0" applyNumberFormat="1" applyFill="1" applyBorder="1" applyAlignment="1">
      <alignment horizontal="right"/>
    </xf>
    <xf numFmtId="176" fontId="0" fillId="61" borderId="792" xfId="0" applyNumberFormat="1" applyFill="1" applyBorder="1" applyAlignment="1">
      <alignment horizontal="right"/>
    </xf>
    <xf numFmtId="176" fontId="13" fillId="61" borderId="793" xfId="74" applyNumberFormat="1" applyFont="1" applyFill="1" applyBorder="1" applyAlignment="1" applyProtection="1">
      <alignment horizontal="right"/>
    </xf>
    <xf numFmtId="3" fontId="59" fillId="33" borderId="780" xfId="1" applyNumberFormat="1" applyFill="1" applyBorder="1" applyAlignment="1" applyProtection="1">
      <alignment horizontal="right"/>
      <protection locked="0"/>
    </xf>
    <xf numFmtId="3" fontId="59" fillId="33" borderId="669" xfId="1" applyNumberFormat="1" applyFill="1" applyBorder="1" applyAlignment="1" applyProtection="1">
      <alignment horizontal="right"/>
      <protection locked="0"/>
    </xf>
    <xf numFmtId="3" fontId="105" fillId="33" borderId="669" xfId="0" applyNumberFormat="1" applyFont="1" applyFill="1" applyBorder="1" applyAlignment="1" applyProtection="1">
      <alignment horizontal="right"/>
      <protection locked="0"/>
    </xf>
    <xf numFmtId="3" fontId="105" fillId="33" borderId="780" xfId="0" applyNumberFormat="1" applyFont="1" applyFill="1" applyBorder="1" applyAlignment="1" applyProtection="1">
      <alignment horizontal="right"/>
      <protection locked="0"/>
    </xf>
    <xf numFmtId="3" fontId="177" fillId="33" borderId="669" xfId="45" applyNumberFormat="1" applyFont="1" applyFill="1" applyBorder="1" applyAlignment="1" applyProtection="1">
      <alignment horizontal="center"/>
      <protection locked="0"/>
    </xf>
    <xf numFmtId="0" fontId="177" fillId="33" borderId="669" xfId="45" applyFont="1" applyFill="1" applyBorder="1" applyAlignment="1" applyProtection="1">
      <alignment horizontal="center"/>
      <protection locked="0"/>
    </xf>
    <xf numFmtId="0" fontId="178" fillId="33" borderId="669" xfId="45" applyFont="1" applyFill="1" applyBorder="1" applyAlignment="1" applyProtection="1">
      <alignment horizontal="center"/>
      <protection locked="0"/>
    </xf>
    <xf numFmtId="0" fontId="179" fillId="33" borderId="669" xfId="45" applyFont="1" applyFill="1" applyBorder="1" applyAlignment="1" applyProtection="1">
      <alignment horizontal="center"/>
      <protection locked="0"/>
    </xf>
    <xf numFmtId="170" fontId="177" fillId="33" borderId="669" xfId="45" applyNumberFormat="1" applyFont="1" applyFill="1" applyBorder="1" applyAlignment="1" applyProtection="1">
      <alignment horizontal="center"/>
      <protection locked="0"/>
    </xf>
    <xf numFmtId="4" fontId="177" fillId="33" borderId="669" xfId="45" applyNumberFormat="1" applyFont="1" applyFill="1" applyBorder="1" applyAlignment="1" applyProtection="1">
      <alignment horizontal="center"/>
      <protection locked="0"/>
    </xf>
    <xf numFmtId="4" fontId="100" fillId="33" borderId="669" xfId="46" applyNumberFormat="1" applyFont="1" applyFill="1" applyBorder="1" applyAlignment="1" applyProtection="1">
      <protection locked="0"/>
    </xf>
    <xf numFmtId="0" fontId="177" fillId="51" borderId="801" xfId="0" applyFont="1" applyFill="1" applyBorder="1" applyAlignment="1" applyProtection="1">
      <alignment horizontal="center"/>
      <protection locked="0"/>
    </xf>
    <xf numFmtId="0" fontId="177" fillId="51" borderId="802" xfId="0" applyFont="1" applyFill="1" applyBorder="1" applyAlignment="1" applyProtection="1">
      <alignment horizontal="center"/>
      <protection locked="0"/>
    </xf>
    <xf numFmtId="0" fontId="177" fillId="51" borderId="744" xfId="0" applyFont="1" applyFill="1" applyBorder="1" applyAlignment="1" applyProtection="1">
      <alignment horizontal="center"/>
      <protection locked="0"/>
    </xf>
    <xf numFmtId="0" fontId="177" fillId="51" borderId="514" xfId="0" applyFont="1" applyFill="1" applyBorder="1" applyAlignment="1" applyProtection="1">
      <alignment horizontal="center"/>
      <protection locked="0"/>
    </xf>
    <xf numFmtId="3" fontId="134" fillId="33" borderId="803" xfId="1" applyNumberFormat="1" applyFont="1" applyFill="1" applyBorder="1" applyAlignment="1" applyProtection="1">
      <protection locked="0"/>
    </xf>
    <xf numFmtId="3" fontId="139" fillId="51" borderId="804" xfId="0" applyNumberFormat="1" applyFont="1" applyFill="1" applyBorder="1" applyProtection="1">
      <protection locked="0"/>
    </xf>
    <xf numFmtId="3" fontId="140" fillId="51" borderId="804" xfId="0" applyNumberFormat="1" applyFont="1" applyFill="1" applyBorder="1" applyProtection="1">
      <protection locked="0"/>
    </xf>
    <xf numFmtId="3" fontId="139" fillId="51" borderId="805" xfId="0" applyNumberFormat="1" applyFont="1" applyFill="1" applyBorder="1" applyProtection="1">
      <protection locked="0"/>
    </xf>
    <xf numFmtId="3" fontId="140" fillId="51" borderId="805" xfId="0" applyNumberFormat="1" applyFont="1" applyFill="1" applyBorder="1" applyProtection="1">
      <protection locked="0"/>
    </xf>
    <xf numFmtId="0" fontId="34" fillId="33" borderId="702" xfId="0" applyFont="1" applyFill="1" applyBorder="1" applyProtection="1">
      <protection locked="0"/>
    </xf>
    <xf numFmtId="4" fontId="34" fillId="33" borderId="702" xfId="0" applyNumberFormat="1" applyFont="1" applyFill="1" applyBorder="1" applyProtection="1">
      <protection locked="0"/>
    </xf>
    <xf numFmtId="3" fontId="34" fillId="33" borderId="702" xfId="1" applyNumberFormat="1" applyFont="1" applyFill="1" applyBorder="1" applyAlignment="1" applyProtection="1">
      <alignment horizontal="right"/>
      <protection locked="0"/>
    </xf>
    <xf numFmtId="3" fontId="34" fillId="33" borderId="806" xfId="1" applyNumberFormat="1" applyFont="1" applyFill="1" applyBorder="1" applyAlignment="1" applyProtection="1">
      <alignment horizontal="right"/>
      <protection locked="0"/>
    </xf>
    <xf numFmtId="170" fontId="82" fillId="33" borderId="800" xfId="45" applyNumberFormat="1" applyFont="1" applyFill="1" applyBorder="1" applyAlignment="1" applyProtection="1">
      <alignment horizontal="center"/>
      <protection locked="0"/>
    </xf>
    <xf numFmtId="170" fontId="82" fillId="33" borderId="669" xfId="45" applyNumberFormat="1" applyFont="1" applyFill="1" applyBorder="1" applyAlignment="1" applyProtection="1">
      <alignment horizontal="center"/>
      <protection locked="0"/>
    </xf>
    <xf numFmtId="3" fontId="67" fillId="10" borderId="592" xfId="0" applyNumberFormat="1" applyFont="1" applyFill="1" applyBorder="1"/>
    <xf numFmtId="4" fontId="100" fillId="33" borderId="811" xfId="46" applyNumberFormat="1" applyFont="1" applyFill="1" applyBorder="1" applyAlignment="1" applyProtection="1">
      <alignment horizontal="center"/>
      <protection locked="0"/>
    </xf>
    <xf numFmtId="4" fontId="100" fillId="49" borderId="811" xfId="45" applyNumberFormat="1" applyFont="1" applyFill="1" applyBorder="1" applyAlignment="1">
      <alignment horizontal="center"/>
    </xf>
    <xf numFmtId="4" fontId="100" fillId="33" borderId="810" xfId="110" applyNumberFormat="1" applyFont="1" applyFill="1" applyBorder="1" applyAlignment="1" applyProtection="1">
      <alignment horizontal="center"/>
      <protection locked="0"/>
    </xf>
    <xf numFmtId="3" fontId="100" fillId="62" borderId="786" xfId="46" applyNumberFormat="1" applyFont="1" applyFill="1" applyBorder="1" applyAlignment="1" applyProtection="1"/>
    <xf numFmtId="3" fontId="100" fillId="62" borderId="574" xfId="46" applyNumberFormat="1" applyFont="1" applyFill="1" applyBorder="1" applyAlignment="1" applyProtection="1"/>
    <xf numFmtId="3" fontId="100" fillId="62" borderId="555" xfId="46" applyNumberFormat="1" applyFont="1" applyFill="1" applyBorder="1" applyAlignment="1" applyProtection="1"/>
    <xf numFmtId="3" fontId="100" fillId="62" borderId="572" xfId="46" applyNumberFormat="1" applyFont="1" applyFill="1" applyBorder="1" applyAlignment="1" applyProtection="1"/>
    <xf numFmtId="3" fontId="100" fillId="62" borderId="571" xfId="46" applyNumberFormat="1" applyFont="1" applyFill="1" applyBorder="1" applyAlignment="1" applyProtection="1"/>
    <xf numFmtId="3" fontId="100" fillId="62" borderId="573" xfId="46" applyNumberFormat="1" applyFont="1" applyFill="1" applyBorder="1" applyAlignment="1" applyProtection="1"/>
    <xf numFmtId="10" fontId="0" fillId="7" borderId="250" xfId="0" applyNumberFormat="1" applyFill="1" applyBorder="1" applyAlignment="1">
      <alignment horizontal="left"/>
    </xf>
    <xf numFmtId="0" fontId="38" fillId="42" borderId="742" xfId="0" applyFont="1" applyFill="1" applyBorder="1" applyAlignment="1">
      <alignment horizontal="left"/>
    </xf>
    <xf numFmtId="0" fontId="4" fillId="42" borderId="0" xfId="0" applyFont="1" applyFill="1" applyAlignment="1">
      <alignment horizontal="left"/>
    </xf>
    <xf numFmtId="0" fontId="4" fillId="42" borderId="177" xfId="0" applyFont="1" applyFill="1" applyBorder="1" applyAlignment="1">
      <alignment horizontal="left"/>
    </xf>
    <xf numFmtId="0" fontId="4" fillId="42" borderId="742" xfId="0" applyFont="1" applyFill="1" applyBorder="1" applyAlignment="1">
      <alignment horizontal="left"/>
    </xf>
    <xf numFmtId="0" fontId="91" fillId="42" borderId="742" xfId="0" applyFont="1" applyFill="1" applyBorder="1" applyAlignment="1">
      <alignment horizontal="left"/>
    </xf>
    <xf numFmtId="3" fontId="104" fillId="7" borderId="802" xfId="10" applyFont="1" applyFill="1" applyBorder="1" applyAlignment="1"/>
    <xf numFmtId="3" fontId="104" fillId="7" borderId="801" xfId="10" applyFont="1" applyFill="1" applyBorder="1" applyAlignment="1"/>
    <xf numFmtId="4" fontId="87" fillId="0" borderId="142" xfId="46" applyNumberFormat="1" applyFont="1" applyFill="1" applyBorder="1" applyAlignment="1">
      <alignment horizontal="left"/>
    </xf>
    <xf numFmtId="0" fontId="92" fillId="0" borderId="0" xfId="21" applyFont="1" applyAlignment="1">
      <alignment horizontal="center"/>
    </xf>
    <xf numFmtId="3" fontId="100" fillId="46" borderId="737" xfId="46" applyNumberFormat="1" applyFont="1" applyFill="1" applyBorder="1" applyAlignment="1" applyProtection="1">
      <protection locked="0"/>
    </xf>
    <xf numFmtId="3" fontId="100" fillId="46" borderId="693" xfId="46" applyNumberFormat="1" applyFont="1" applyFill="1" applyBorder="1" applyAlignment="1" applyProtection="1">
      <protection locked="0"/>
    </xf>
    <xf numFmtId="3" fontId="100" fillId="33" borderId="737" xfId="46" applyNumberFormat="1" applyFont="1" applyFill="1" applyBorder="1" applyAlignment="1" applyProtection="1">
      <protection locked="0"/>
    </xf>
    <xf numFmtId="3" fontId="100" fillId="33" borderId="811" xfId="46" applyNumberFormat="1" applyFont="1" applyFill="1" applyBorder="1" applyAlignment="1" applyProtection="1">
      <protection locked="0"/>
    </xf>
    <xf numFmtId="3" fontId="100" fillId="33" borderId="693" xfId="46" applyNumberFormat="1" applyFont="1" applyFill="1" applyBorder="1" applyAlignment="1" applyProtection="1">
      <protection locked="0"/>
    </xf>
    <xf numFmtId="3" fontId="100" fillId="33" borderId="812" xfId="46" applyNumberFormat="1" applyFont="1" applyFill="1" applyBorder="1" applyAlignment="1" applyProtection="1">
      <protection locked="0"/>
    </xf>
    <xf numFmtId="3" fontId="100" fillId="33" borderId="810" xfId="46" applyNumberFormat="1" applyFont="1" applyFill="1" applyBorder="1" applyAlignment="1" applyProtection="1">
      <protection locked="0"/>
    </xf>
    <xf numFmtId="4" fontId="100" fillId="33" borderId="816" xfId="110" applyNumberFormat="1" applyFont="1" applyFill="1" applyBorder="1" applyAlignment="1" applyProtection="1">
      <alignment horizontal="center"/>
      <protection locked="0"/>
    </xf>
    <xf numFmtId="4" fontId="100" fillId="33" borderId="780" xfId="46" applyNumberFormat="1" applyFont="1" applyFill="1" applyBorder="1" applyAlignment="1" applyProtection="1">
      <alignment horizontal="center"/>
      <protection locked="0"/>
    </xf>
    <xf numFmtId="4" fontId="100" fillId="49" borderId="812" xfId="45" applyNumberFormat="1" applyFont="1" applyFill="1" applyBorder="1" applyAlignment="1">
      <alignment horizontal="center"/>
    </xf>
    <xf numFmtId="0" fontId="4" fillId="33" borderId="0" xfId="0" applyFont="1" applyFill="1" applyAlignment="1" applyProtection="1">
      <alignment horizontal="left"/>
      <protection locked="0"/>
    </xf>
    <xf numFmtId="0" fontId="90" fillId="6" borderId="0" xfId="45" applyFont="1" applyFill="1"/>
    <xf numFmtId="4" fontId="69" fillId="6" borderId="0" xfId="1" applyFont="1" applyFill="1" applyBorder="1" applyProtection="1">
      <protection locked="0"/>
    </xf>
    <xf numFmtId="0" fontId="78" fillId="33" borderId="450" xfId="45" applyFill="1" applyBorder="1" applyAlignment="1" applyProtection="1">
      <alignment horizontal="left" wrapText="1"/>
      <protection locked="0"/>
    </xf>
    <xf numFmtId="0" fontId="78" fillId="64" borderId="811" xfId="45" applyFill="1" applyBorder="1"/>
    <xf numFmtId="0" fontId="78" fillId="33" borderId="811" xfId="45" applyFill="1" applyBorder="1" applyProtection="1">
      <protection locked="0"/>
    </xf>
    <xf numFmtId="4" fontId="59" fillId="64" borderId="811" xfId="1" applyFill="1" applyBorder="1"/>
    <xf numFmtId="3" fontId="100" fillId="7" borderId="810" xfId="46" applyNumberFormat="1" applyFont="1" applyFill="1" applyBorder="1" applyAlignment="1"/>
    <xf numFmtId="3" fontId="100" fillId="7" borderId="817" xfId="46" applyNumberFormat="1" applyFont="1" applyFill="1" applyBorder="1" applyAlignment="1"/>
    <xf numFmtId="3" fontId="100" fillId="7" borderId="811" xfId="46" applyNumberFormat="1" applyFont="1" applyFill="1" applyBorder="1" applyAlignment="1"/>
    <xf numFmtId="3" fontId="100" fillId="7" borderId="737" xfId="46" applyNumberFormat="1" applyFont="1" applyFill="1" applyBorder="1" applyAlignment="1"/>
    <xf numFmtId="3" fontId="100" fillId="7" borderId="693" xfId="46" applyNumberFormat="1" applyFont="1" applyFill="1" applyBorder="1" applyAlignment="1"/>
    <xf numFmtId="3" fontId="100" fillId="7" borderId="582" xfId="46" applyNumberFormat="1" applyFont="1" applyFill="1" applyBorder="1" applyAlignment="1" applyProtection="1"/>
    <xf numFmtId="3" fontId="100" fillId="7" borderId="783" xfId="46" applyNumberFormat="1" applyFont="1" applyFill="1" applyBorder="1" applyAlignment="1" applyProtection="1"/>
    <xf numFmtId="3" fontId="100" fillId="7" borderId="782" xfId="46" applyNumberFormat="1" applyFont="1" applyFill="1" applyBorder="1" applyAlignment="1" applyProtection="1"/>
    <xf numFmtId="3" fontId="100" fillId="46" borderId="782" xfId="46" applyNumberFormat="1" applyFont="1" applyFill="1" applyBorder="1" applyAlignment="1" applyProtection="1"/>
    <xf numFmtId="3" fontId="100" fillId="46" borderId="783" xfId="46" applyNumberFormat="1" applyFont="1" applyFill="1" applyBorder="1" applyAlignment="1" applyProtection="1"/>
    <xf numFmtId="3" fontId="155" fillId="10" borderId="818" xfId="45" applyNumberFormat="1" applyFont="1" applyFill="1" applyBorder="1"/>
    <xf numFmtId="3" fontId="155" fillId="10" borderId="819" xfId="45" applyNumberFormat="1" applyFont="1" applyFill="1" applyBorder="1"/>
    <xf numFmtId="3" fontId="155" fillId="10" borderId="820" xfId="45" applyNumberFormat="1" applyFont="1" applyFill="1" applyBorder="1"/>
    <xf numFmtId="3" fontId="155" fillId="10" borderId="821" xfId="45" applyNumberFormat="1" applyFont="1" applyFill="1" applyBorder="1"/>
    <xf numFmtId="0" fontId="100" fillId="33" borderId="812" xfId="45" applyFont="1" applyFill="1" applyBorder="1" applyAlignment="1" applyProtection="1">
      <alignment horizontal="center"/>
      <protection locked="0"/>
    </xf>
    <xf numFmtId="0" fontId="100" fillId="33" borderId="810" xfId="45" applyFont="1" applyFill="1" applyBorder="1" applyAlignment="1" applyProtection="1">
      <alignment horizontal="center"/>
      <protection locked="0"/>
    </xf>
    <xf numFmtId="0" fontId="100" fillId="33" borderId="737" xfId="45" applyFont="1" applyFill="1" applyBorder="1" applyAlignment="1" applyProtection="1">
      <alignment horizontal="center"/>
      <protection locked="0"/>
    </xf>
    <xf numFmtId="0" fontId="100" fillId="33" borderId="811" xfId="45" applyFont="1" applyFill="1" applyBorder="1" applyAlignment="1" applyProtection="1">
      <alignment horizontal="center"/>
      <protection locked="0"/>
    </xf>
    <xf numFmtId="0" fontId="100" fillId="33" borderId="693" xfId="45" applyFont="1" applyFill="1" applyBorder="1" applyAlignment="1" applyProtection="1">
      <alignment horizontal="center"/>
      <protection locked="0"/>
    </xf>
    <xf numFmtId="0" fontId="3" fillId="53" borderId="303" xfId="0" applyFont="1" applyFill="1" applyBorder="1"/>
    <xf numFmtId="0" fontId="3" fillId="55" borderId="343" xfId="0" applyFont="1" applyFill="1" applyBorder="1"/>
    <xf numFmtId="3" fontId="3" fillId="33" borderId="87" xfId="11" applyFont="1" applyFill="1" applyBorder="1" applyAlignment="1" applyProtection="1">
      <protection locked="0"/>
    </xf>
    <xf numFmtId="0" fontId="0" fillId="8" borderId="682" xfId="0" applyFill="1" applyBorder="1" applyAlignment="1">
      <alignment horizontal="center" vertical="top" wrapText="1"/>
    </xf>
    <xf numFmtId="0" fontId="0" fillId="8" borderId="822" xfId="0" applyFill="1" applyBorder="1" applyAlignment="1">
      <alignment horizontal="center" vertical="top" wrapText="1"/>
    </xf>
    <xf numFmtId="3" fontId="13" fillId="11" borderId="742" xfId="15" applyFont="1" applyFill="1" applyBorder="1" applyAlignment="1" applyProtection="1"/>
    <xf numFmtId="49" fontId="3" fillId="11" borderId="170" xfId="15" applyNumberFormat="1" applyFont="1" applyFill="1" applyBorder="1" applyAlignment="1" applyProtection="1">
      <alignment horizontal="center"/>
    </xf>
    <xf numFmtId="49" fontId="3" fillId="11" borderId="224" xfId="15" applyNumberFormat="1" applyFont="1" applyFill="1" applyBorder="1" applyAlignment="1" applyProtection="1">
      <alignment horizontal="center"/>
    </xf>
    <xf numFmtId="3" fontId="140" fillId="51" borderId="823" xfId="0" applyNumberFormat="1" applyFont="1" applyFill="1" applyBorder="1" applyProtection="1">
      <protection locked="0"/>
    </xf>
    <xf numFmtId="3" fontId="140" fillId="51" borderId="824" xfId="0" applyNumberFormat="1" applyFont="1" applyFill="1" applyBorder="1" applyProtection="1">
      <protection locked="0"/>
    </xf>
    <xf numFmtId="3" fontId="140" fillId="51" borderId="825" xfId="0" applyNumberFormat="1" applyFont="1" applyFill="1" applyBorder="1" applyProtection="1">
      <protection locked="0"/>
    </xf>
    <xf numFmtId="3" fontId="140" fillId="51" borderId="826" xfId="0" applyNumberFormat="1" applyFont="1" applyFill="1" applyBorder="1" applyProtection="1">
      <protection locked="0"/>
    </xf>
    <xf numFmtId="3" fontId="140" fillId="51" borderId="827" xfId="0" applyNumberFormat="1" applyFont="1" applyFill="1" applyBorder="1" applyProtection="1">
      <protection locked="0"/>
    </xf>
    <xf numFmtId="0" fontId="117" fillId="63" borderId="826" xfId="45" applyFont="1" applyFill="1" applyBorder="1"/>
    <xf numFmtId="0" fontId="78" fillId="33" borderId="826" xfId="45" applyFill="1" applyBorder="1" applyProtection="1">
      <protection locked="0"/>
    </xf>
    <xf numFmtId="4" fontId="59" fillId="63" borderId="826" xfId="1" applyFill="1" applyBorder="1"/>
    <xf numFmtId="0" fontId="114" fillId="77" borderId="0" xfId="21" applyFont="1" applyFill="1" applyAlignment="1">
      <alignment horizontal="left"/>
    </xf>
    <xf numFmtId="4" fontId="114" fillId="6" borderId="0" xfId="46" applyNumberFormat="1" applyFont="1" applyFill="1" applyBorder="1" applyAlignment="1"/>
    <xf numFmtId="3" fontId="114" fillId="6" borderId="0" xfId="45" applyNumberFormat="1" applyFont="1" applyFill="1" applyAlignment="1">
      <alignment horizontal="left"/>
    </xf>
    <xf numFmtId="0" fontId="117" fillId="6" borderId="0" xfId="45" applyFont="1" applyFill="1"/>
    <xf numFmtId="0" fontId="78" fillId="6" borderId="0" xfId="45" applyFill="1" applyAlignment="1">
      <alignment horizontal="left"/>
    </xf>
    <xf numFmtId="4" fontId="78" fillId="6" borderId="0" xfId="45" applyNumberFormat="1" applyFill="1"/>
    <xf numFmtId="0" fontId="180" fillId="0" borderId="0" xfId="45" applyFont="1" applyAlignment="1">
      <alignment horizontal="center"/>
    </xf>
    <xf numFmtId="0" fontId="180" fillId="0" borderId="0" xfId="45" applyFont="1"/>
    <xf numFmtId="4" fontId="181" fillId="0" borderId="0" xfId="45" applyNumberFormat="1" applyFont="1"/>
    <xf numFmtId="0" fontId="181" fillId="0" borderId="0" xfId="45" applyFont="1"/>
    <xf numFmtId="164" fontId="180" fillId="0" borderId="0" xfId="174" applyFont="1"/>
    <xf numFmtId="0" fontId="182" fillId="0" borderId="0" xfId="45" applyFont="1"/>
    <xf numFmtId="0" fontId="78" fillId="64" borderId="826" xfId="45" applyFill="1" applyBorder="1"/>
    <xf numFmtId="4" fontId="59" fillId="64" borderId="826" xfId="1" applyFill="1" applyBorder="1"/>
    <xf numFmtId="0" fontId="3" fillId="0" borderId="277" xfId="0" applyFont="1" applyBorder="1"/>
    <xf numFmtId="3" fontId="143" fillId="0" borderId="828" xfId="1" applyNumberFormat="1" applyFont="1" applyFill="1" applyBorder="1" applyAlignment="1" applyProtection="1">
      <protection locked="0"/>
    </xf>
    <xf numFmtId="0" fontId="100" fillId="33" borderId="781" xfId="45" applyFont="1" applyFill="1" applyBorder="1" applyAlignment="1" applyProtection="1">
      <alignment horizontal="center"/>
      <protection locked="0"/>
    </xf>
    <xf numFmtId="0" fontId="100" fillId="33" borderId="805" xfId="45" applyFont="1" applyFill="1" applyBorder="1" applyAlignment="1" applyProtection="1">
      <alignment horizontal="center"/>
      <protection locked="0"/>
    </xf>
    <xf numFmtId="0" fontId="78" fillId="42" borderId="826" xfId="45" applyFill="1" applyBorder="1" applyAlignment="1">
      <alignment horizontal="left" wrapText="1"/>
    </xf>
    <xf numFmtId="0" fontId="78" fillId="33" borderId="826" xfId="45" applyFill="1" applyBorder="1" applyAlignment="1" applyProtection="1">
      <alignment horizontal="left" wrapText="1"/>
      <protection locked="0"/>
    </xf>
    <xf numFmtId="4" fontId="59" fillId="42" borderId="826" xfId="1" applyFill="1" applyBorder="1" applyProtection="1">
      <protection locked="0"/>
    </xf>
    <xf numFmtId="0" fontId="78" fillId="41" borderId="826" xfId="45" applyFill="1" applyBorder="1" applyAlignment="1">
      <alignment horizontal="left" wrapText="1"/>
    </xf>
    <xf numFmtId="4" fontId="59" fillId="41" borderId="826" xfId="1" applyFill="1" applyBorder="1" applyProtection="1">
      <protection locked="0"/>
    </xf>
    <xf numFmtId="4" fontId="59" fillId="64" borderId="826" xfId="1" applyFill="1" applyBorder="1" applyProtection="1">
      <protection locked="0"/>
    </xf>
    <xf numFmtId="0" fontId="78" fillId="65" borderId="826" xfId="45" applyFill="1" applyBorder="1"/>
    <xf numFmtId="4" fontId="59" fillId="65" borderId="826" xfId="1" applyFill="1" applyBorder="1" applyProtection="1">
      <protection locked="0"/>
    </xf>
    <xf numFmtId="0" fontId="78" fillId="69" borderId="826" xfId="45" applyFill="1" applyBorder="1"/>
    <xf numFmtId="4" fontId="59" fillId="69" borderId="826" xfId="1" applyFill="1" applyBorder="1" applyProtection="1">
      <protection locked="0"/>
    </xf>
    <xf numFmtId="0" fontId="78" fillId="71" borderId="826" xfId="45" applyFill="1" applyBorder="1"/>
    <xf numFmtId="4" fontId="59" fillId="71" borderId="826" xfId="1" applyFill="1" applyBorder="1" applyProtection="1">
      <protection locked="0"/>
    </xf>
    <xf numFmtId="0" fontId="78" fillId="75" borderId="826" xfId="45" applyFill="1" applyBorder="1"/>
    <xf numFmtId="4" fontId="59" fillId="75" borderId="826" xfId="1" applyFill="1" applyBorder="1" applyProtection="1">
      <protection locked="0"/>
    </xf>
    <xf numFmtId="0" fontId="100" fillId="33" borderId="827" xfId="45" applyFont="1" applyFill="1" applyBorder="1" applyAlignment="1" applyProtection="1">
      <alignment horizontal="center"/>
      <protection locked="0"/>
    </xf>
    <xf numFmtId="0" fontId="100" fillId="33" borderId="830" xfId="45" applyFont="1" applyFill="1" applyBorder="1" applyAlignment="1" applyProtection="1">
      <alignment horizontal="center"/>
      <protection locked="0"/>
    </xf>
    <xf numFmtId="0" fontId="100" fillId="33" borderId="831" xfId="45" applyFont="1" applyFill="1" applyBorder="1" applyAlignment="1" applyProtection="1">
      <alignment horizontal="center"/>
      <protection locked="0"/>
    </xf>
    <xf numFmtId="170" fontId="100" fillId="45" borderId="713" xfId="45" applyNumberFormat="1" applyFont="1" applyFill="1" applyBorder="1" applyAlignment="1">
      <alignment horizontal="center"/>
    </xf>
    <xf numFmtId="170" fontId="100" fillId="45" borderId="616" xfId="45" applyNumberFormat="1" applyFont="1" applyFill="1" applyBorder="1" applyAlignment="1">
      <alignment horizontal="center"/>
    </xf>
    <xf numFmtId="4" fontId="100" fillId="33" borderId="810" xfId="46" applyNumberFormat="1" applyFont="1" applyFill="1" applyBorder="1" applyAlignment="1" applyProtection="1">
      <alignment horizontal="center"/>
      <protection locked="0"/>
    </xf>
    <xf numFmtId="4" fontId="100" fillId="33" borderId="827" xfId="46" applyNumberFormat="1" applyFont="1" applyFill="1" applyBorder="1" applyAlignment="1" applyProtection="1">
      <alignment horizontal="center"/>
      <protection locked="0"/>
    </xf>
    <xf numFmtId="3" fontId="166" fillId="7" borderId="833" xfId="0" applyNumberFormat="1" applyFont="1" applyFill="1" applyBorder="1" applyAlignment="1">
      <alignment horizontal="center"/>
    </xf>
    <xf numFmtId="3" fontId="166" fillId="7" borderId="832" xfId="0" applyNumberFormat="1" applyFont="1" applyFill="1" applyBorder="1" applyAlignment="1">
      <alignment horizontal="center"/>
    </xf>
    <xf numFmtId="3" fontId="166" fillId="7" borderId="834" xfId="0" applyNumberFormat="1" applyFont="1" applyFill="1" applyBorder="1" applyAlignment="1">
      <alignment horizontal="center"/>
    </xf>
    <xf numFmtId="10" fontId="34" fillId="33" borderId="835" xfId="75" applyNumberFormat="1" applyFont="1" applyFill="1" applyBorder="1" applyAlignment="1" applyProtection="1">
      <alignment horizontal="right"/>
      <protection locked="0"/>
    </xf>
    <xf numFmtId="10" fontId="34" fillId="7" borderId="835" xfId="75" applyNumberFormat="1" applyFont="1" applyFill="1" applyBorder="1" applyAlignment="1" applyProtection="1">
      <alignment horizontal="right"/>
    </xf>
    <xf numFmtId="0" fontId="4" fillId="0" borderId="0" xfId="0" applyFont="1" applyAlignment="1">
      <alignment horizontal="left" wrapText="1"/>
    </xf>
    <xf numFmtId="0" fontId="100" fillId="33" borderId="671" xfId="45" applyFont="1" applyFill="1" applyBorder="1" applyAlignment="1" applyProtection="1">
      <alignment horizontal="center"/>
      <protection locked="0"/>
    </xf>
    <xf numFmtId="0" fontId="29" fillId="79" borderId="0" xfId="0" applyFont="1" applyFill="1"/>
    <xf numFmtId="0" fontId="4" fillId="79" borderId="0" xfId="0" applyFont="1" applyFill="1"/>
    <xf numFmtId="0" fontId="0" fillId="79" borderId="0" xfId="0" applyFill="1"/>
    <xf numFmtId="0" fontId="4" fillId="64" borderId="0" xfId="0" applyFont="1" applyFill="1"/>
    <xf numFmtId="0" fontId="0" fillId="64" borderId="0" xfId="0" applyFill="1"/>
    <xf numFmtId="0" fontId="29" fillId="64" borderId="0" xfId="0" applyFont="1" applyFill="1"/>
    <xf numFmtId="0" fontId="29" fillId="65" borderId="0" xfId="0" applyFont="1" applyFill="1"/>
    <xf numFmtId="0" fontId="4" fillId="65" borderId="0" xfId="0" applyFont="1" applyFill="1"/>
    <xf numFmtId="0" fontId="0" fillId="65" borderId="0" xfId="0" applyFill="1"/>
    <xf numFmtId="0" fontId="29" fillId="44" borderId="0" xfId="0" applyFont="1" applyFill="1"/>
    <xf numFmtId="0" fontId="4" fillId="44" borderId="0" xfId="0" applyFont="1" applyFill="1"/>
    <xf numFmtId="0" fontId="0" fillId="44" borderId="0" xfId="0" applyFill="1"/>
    <xf numFmtId="0" fontId="29" fillId="69" borderId="0" xfId="0" applyFont="1" applyFill="1"/>
    <xf numFmtId="0" fontId="4" fillId="69" borderId="0" xfId="0" applyFont="1" applyFill="1"/>
    <xf numFmtId="0" fontId="0" fillId="69" borderId="0" xfId="0" applyFill="1"/>
    <xf numFmtId="0" fontId="184" fillId="10" borderId="0" xfId="0" applyFont="1" applyFill="1"/>
    <xf numFmtId="170" fontId="100" fillId="49" borderId="572" xfId="45" applyNumberFormat="1" applyFont="1" applyFill="1" applyBorder="1" applyAlignment="1" applyProtection="1">
      <alignment horizontal="center"/>
      <protection locked="0"/>
    </xf>
    <xf numFmtId="4" fontId="100" fillId="49" borderId="197" xfId="45" applyNumberFormat="1" applyFont="1" applyFill="1" applyBorder="1" applyAlignment="1" applyProtection="1">
      <alignment horizontal="center"/>
      <protection locked="0"/>
    </xf>
    <xf numFmtId="4" fontId="100" fillId="33" borderId="671" xfId="46" applyNumberFormat="1" applyFont="1" applyFill="1" applyBorder="1" applyAlignment="1" applyProtection="1">
      <alignment horizontal="center"/>
      <protection locked="0"/>
    </xf>
    <xf numFmtId="4" fontId="100" fillId="33" borderId="780" xfId="45" applyNumberFormat="1" applyFont="1" applyFill="1" applyBorder="1" applyAlignment="1" applyProtection="1">
      <alignment horizontal="center"/>
      <protection locked="0"/>
    </xf>
    <xf numFmtId="9" fontId="100" fillId="33" borderId="826" xfId="26" applyFont="1" applyFill="1" applyBorder="1" applyAlignment="1" applyProtection="1">
      <alignment horizontal="center"/>
      <protection locked="0"/>
    </xf>
    <xf numFmtId="4" fontId="100" fillId="33" borderId="576" xfId="45" applyNumberFormat="1" applyFont="1" applyFill="1" applyBorder="1" applyAlignment="1" applyProtection="1">
      <alignment horizontal="center"/>
      <protection locked="0"/>
    </xf>
    <xf numFmtId="2" fontId="100" fillId="33" borderId="826" xfId="45" applyNumberFormat="1" applyFont="1" applyFill="1" applyBorder="1" applyAlignment="1" applyProtection="1">
      <alignment horizontal="center"/>
      <protection locked="0"/>
    </xf>
    <xf numFmtId="3" fontId="100" fillId="7" borderId="58" xfId="0" applyNumberFormat="1" applyFont="1" applyFill="1" applyBorder="1" applyAlignment="1">
      <alignment wrapText="1"/>
    </xf>
    <xf numFmtId="3" fontId="59" fillId="33" borderId="826" xfId="1" applyNumberFormat="1" applyFill="1" applyBorder="1" applyAlignment="1" applyProtection="1">
      <alignment horizontal="right"/>
      <protection locked="0"/>
    </xf>
    <xf numFmtId="0" fontId="2" fillId="5" borderId="136" xfId="0" applyFont="1" applyFill="1" applyBorder="1"/>
    <xf numFmtId="0" fontId="0" fillId="33" borderId="826" xfId="0" applyFill="1" applyBorder="1" applyProtection="1">
      <protection locked="0"/>
    </xf>
    <xf numFmtId="0" fontId="0" fillId="33" borderId="112" xfId="0" applyFill="1" applyBorder="1" applyProtection="1">
      <protection locked="0"/>
    </xf>
    <xf numFmtId="0" fontId="61" fillId="33" borderId="197" xfId="0" applyFont="1" applyFill="1" applyBorder="1" applyProtection="1">
      <protection locked="0"/>
    </xf>
    <xf numFmtId="0" fontId="61" fillId="33" borderId="112" xfId="0" applyFont="1" applyFill="1" applyBorder="1" applyProtection="1">
      <protection locked="0"/>
    </xf>
    <xf numFmtId="0" fontId="174" fillId="55" borderId="830" xfId="0" applyFont="1" applyFill="1" applyBorder="1"/>
    <xf numFmtId="3" fontId="61" fillId="53" borderId="837" xfId="0" applyNumberFormat="1" applyFont="1" applyFill="1" applyBorder="1"/>
    <xf numFmtId="3" fontId="61" fillId="53" borderId="831" xfId="0" applyNumberFormat="1" applyFont="1" applyFill="1" applyBorder="1"/>
    <xf numFmtId="0" fontId="174" fillId="55" borderId="825" xfId="0" applyFont="1" applyFill="1" applyBorder="1"/>
    <xf numFmtId="0" fontId="174" fillId="55" borderId="805" xfId="0" applyFont="1" applyFill="1" applyBorder="1"/>
    <xf numFmtId="3" fontId="0" fillId="7" borderId="826" xfId="0" applyNumberFormat="1" applyFill="1" applyBorder="1"/>
    <xf numFmtId="3" fontId="0" fillId="7" borderId="827" xfId="0" applyNumberFormat="1" applyFill="1" applyBorder="1"/>
    <xf numFmtId="0" fontId="174" fillId="55" borderId="838" xfId="0" applyFont="1" applyFill="1" applyBorder="1"/>
    <xf numFmtId="3" fontId="0" fillId="7" borderId="839" xfId="0" applyNumberFormat="1" applyFill="1" applyBorder="1"/>
    <xf numFmtId="3" fontId="0" fillId="7" borderId="840" xfId="0" applyNumberFormat="1" applyFill="1" applyBorder="1"/>
    <xf numFmtId="0" fontId="174" fillId="55" borderId="201" xfId="0" applyFont="1" applyFill="1" applyBorder="1"/>
    <xf numFmtId="3" fontId="61" fillId="55" borderId="616" xfId="0" applyNumberFormat="1" applyFont="1" applyFill="1" applyBorder="1"/>
    <xf numFmtId="3" fontId="105" fillId="42" borderId="714" xfId="0" applyNumberFormat="1" applyFont="1" applyFill="1" applyBorder="1"/>
    <xf numFmtId="3" fontId="105" fillId="42" borderId="616" xfId="0" applyNumberFormat="1" applyFont="1" applyFill="1" applyBorder="1"/>
    <xf numFmtId="0" fontId="0" fillId="22" borderId="742" xfId="0" applyFill="1" applyBorder="1"/>
    <xf numFmtId="3" fontId="14" fillId="21" borderId="40" xfId="15" applyFont="1" applyFill="1" applyBorder="1" applyAlignment="1" applyProtection="1">
      <alignment horizontal="center"/>
    </xf>
    <xf numFmtId="3" fontId="0" fillId="3" borderId="844" xfId="15" applyFont="1" applyFill="1" applyBorder="1" applyAlignment="1" applyProtection="1">
      <alignment horizontal="center" vertical="top" wrapText="1"/>
    </xf>
    <xf numFmtId="3" fontId="0" fillId="3" borderId="845" xfId="15" applyFont="1" applyFill="1" applyBorder="1" applyAlignment="1" applyProtection="1">
      <alignment horizontal="center" vertical="top" wrapText="1"/>
    </xf>
    <xf numFmtId="3" fontId="0" fillId="3" borderId="846" xfId="15" applyFont="1" applyFill="1" applyBorder="1" applyAlignment="1" applyProtection="1">
      <alignment horizontal="center" vertical="top" wrapText="1"/>
    </xf>
    <xf numFmtId="3" fontId="0" fillId="3" borderId="847" xfId="15" applyFont="1" applyFill="1" applyBorder="1" applyAlignment="1" applyProtection="1">
      <alignment horizontal="center" vertical="top" wrapText="1"/>
    </xf>
    <xf numFmtId="3" fontId="0" fillId="11" borderId="742" xfId="15" applyFont="1" applyFill="1" applyBorder="1" applyAlignment="1" applyProtection="1">
      <alignment horizontal="center" vertical="top" wrapText="1"/>
    </xf>
    <xf numFmtId="3" fontId="0" fillId="11" borderId="848" xfId="15" applyFont="1" applyFill="1" applyBorder="1" applyAlignment="1" applyProtection="1">
      <alignment horizontal="center"/>
    </xf>
    <xf numFmtId="3" fontId="3" fillId="11" borderId="848" xfId="15" applyFont="1" applyFill="1" applyBorder="1" applyAlignment="1" applyProtection="1">
      <alignment horizontal="center"/>
    </xf>
    <xf numFmtId="49" fontId="3" fillId="11" borderId="848" xfId="15" applyNumberFormat="1" applyFont="1" applyFill="1" applyBorder="1" applyAlignment="1" applyProtection="1">
      <alignment horizontal="center"/>
    </xf>
    <xf numFmtId="3" fontId="0" fillId="11" borderId="648" xfId="15" applyFont="1" applyFill="1" applyBorder="1" applyAlignment="1" applyProtection="1"/>
    <xf numFmtId="3" fontId="27" fillId="3" borderId="509" xfId="0" applyNumberFormat="1" applyFont="1" applyFill="1" applyBorder="1"/>
    <xf numFmtId="3" fontId="19" fillId="11" borderId="341" xfId="0" applyNumberFormat="1" applyFont="1" applyFill="1" applyBorder="1"/>
    <xf numFmtId="3" fontId="13" fillId="11" borderId="849" xfId="0" applyNumberFormat="1" applyFont="1" applyFill="1" applyBorder="1"/>
    <xf numFmtId="3" fontId="13" fillId="11" borderId="850" xfId="0" applyNumberFormat="1" applyFont="1" applyFill="1" applyBorder="1"/>
    <xf numFmtId="3" fontId="13" fillId="11" borderId="648" xfId="15" applyFont="1" applyFill="1" applyBorder="1" applyAlignment="1" applyProtection="1"/>
    <xf numFmtId="3" fontId="0" fillId="11" borderId="510" xfId="15" applyFont="1" applyFill="1" applyBorder="1" applyAlignment="1" applyProtection="1"/>
    <xf numFmtId="3" fontId="14" fillId="11" borderId="742" xfId="15" applyFont="1" applyFill="1" applyBorder="1" applyAlignment="1" applyProtection="1">
      <alignment horizontal="center"/>
    </xf>
    <xf numFmtId="0" fontId="116" fillId="33" borderId="714" xfId="0" applyFont="1" applyFill="1" applyBorder="1" applyAlignment="1" applyProtection="1">
      <alignment horizontal="center"/>
      <protection locked="0"/>
    </xf>
    <xf numFmtId="0" fontId="0" fillId="3" borderId="503" xfId="0" applyFill="1" applyBorder="1" applyAlignment="1">
      <alignment horizontal="center"/>
    </xf>
    <xf numFmtId="3" fontId="0" fillId="11" borderId="742" xfId="15" applyFont="1" applyFill="1" applyBorder="1" applyAlignment="1" applyProtection="1"/>
    <xf numFmtId="0" fontId="4" fillId="22" borderId="742" xfId="0" applyFont="1" applyFill="1" applyBorder="1"/>
    <xf numFmtId="3" fontId="38" fillId="21" borderId="201" xfId="15" applyFont="1" applyFill="1" applyBorder="1" applyAlignment="1" applyProtection="1">
      <alignment horizontal="left" wrapText="1"/>
    </xf>
    <xf numFmtId="0" fontId="4" fillId="35" borderId="201" xfId="15" applyNumberFormat="1" applyFont="1" applyFill="1" applyBorder="1" applyAlignment="1" applyProtection="1">
      <alignment horizontal="center" wrapText="1"/>
      <protection locked="0"/>
    </xf>
    <xf numFmtId="0" fontId="34" fillId="33" borderId="73" xfId="0" applyFont="1" applyFill="1" applyBorder="1" applyProtection="1">
      <protection locked="0"/>
    </xf>
    <xf numFmtId="0" fontId="34" fillId="33" borderId="197" xfId="0" applyFont="1" applyFill="1" applyBorder="1" applyProtection="1">
      <protection locked="0"/>
    </xf>
    <xf numFmtId="0" fontId="34" fillId="33" borderId="112" xfId="0" applyFont="1" applyFill="1" applyBorder="1" applyProtection="1">
      <protection locked="0"/>
    </xf>
    <xf numFmtId="0" fontId="34" fillId="33" borderId="91" xfId="0" applyFont="1" applyFill="1" applyBorder="1" applyProtection="1">
      <protection locked="0"/>
    </xf>
    <xf numFmtId="3" fontId="34" fillId="33" borderId="851" xfId="0" applyNumberFormat="1" applyFont="1" applyFill="1" applyBorder="1" applyProtection="1">
      <protection locked="0"/>
    </xf>
    <xf numFmtId="3" fontId="34" fillId="33" borderId="852" xfId="0" applyNumberFormat="1" applyFont="1" applyFill="1" applyBorder="1" applyProtection="1">
      <protection locked="0"/>
    </xf>
    <xf numFmtId="3" fontId="105" fillId="33" borderId="853" xfId="11" applyFont="1" applyFill="1" applyBorder="1" applyAlignment="1" applyProtection="1">
      <protection locked="0"/>
    </xf>
    <xf numFmtId="3" fontId="34" fillId="33" borderId="854" xfId="0" applyNumberFormat="1" applyFont="1" applyFill="1" applyBorder="1" applyProtection="1">
      <protection locked="0"/>
    </xf>
    <xf numFmtId="3" fontId="21" fillId="33" borderId="855" xfId="11" applyFont="1" applyFill="1" applyBorder="1" applyAlignment="1" applyProtection="1">
      <protection locked="0"/>
    </xf>
    <xf numFmtId="3" fontId="13" fillId="11" borderId="274" xfId="0" applyNumberFormat="1" applyFont="1" applyFill="1" applyBorder="1"/>
    <xf numFmtId="3" fontId="133" fillId="11" borderId="856" xfId="0" applyNumberFormat="1" applyFont="1" applyFill="1" applyBorder="1"/>
    <xf numFmtId="3" fontId="13" fillId="11" borderId="857" xfId="0" applyNumberFormat="1" applyFont="1" applyFill="1" applyBorder="1"/>
    <xf numFmtId="3" fontId="13" fillId="11" borderId="858" xfId="0" applyNumberFormat="1" applyFont="1" applyFill="1" applyBorder="1"/>
    <xf numFmtId="3" fontId="0" fillId="3" borderId="859" xfId="15" applyFont="1" applyFill="1" applyBorder="1" applyAlignment="1" applyProtection="1">
      <alignment horizontal="center" vertical="top" wrapText="1"/>
    </xf>
    <xf numFmtId="3" fontId="34" fillId="33" borderId="860" xfId="0" applyNumberFormat="1" applyFont="1" applyFill="1" applyBorder="1" applyProtection="1">
      <protection locked="0"/>
    </xf>
    <xf numFmtId="3" fontId="34" fillId="33" borderId="861" xfId="0" applyNumberFormat="1" applyFont="1" applyFill="1" applyBorder="1" applyProtection="1">
      <protection locked="0"/>
    </xf>
    <xf numFmtId="3" fontId="34" fillId="33" borderId="862" xfId="0" applyNumberFormat="1" applyFont="1" applyFill="1" applyBorder="1" applyProtection="1">
      <protection locked="0"/>
    </xf>
    <xf numFmtId="3" fontId="105" fillId="33" borderId="863" xfId="11" applyFont="1" applyFill="1" applyBorder="1" applyAlignment="1" applyProtection="1">
      <protection locked="0"/>
    </xf>
    <xf numFmtId="3" fontId="34" fillId="33" borderId="864" xfId="0" applyNumberFormat="1" applyFont="1" applyFill="1" applyBorder="1" applyProtection="1">
      <protection locked="0"/>
    </xf>
    <xf numFmtId="3" fontId="21" fillId="33" borderId="865" xfId="11" applyFont="1" applyFill="1" applyBorder="1" applyAlignment="1" applyProtection="1">
      <protection locked="0"/>
    </xf>
    <xf numFmtId="3" fontId="21" fillId="33" borderId="45" xfId="0" applyNumberFormat="1" applyFont="1" applyFill="1" applyBorder="1" applyProtection="1">
      <protection locked="0"/>
    </xf>
    <xf numFmtId="3" fontId="21" fillId="33" borderId="389" xfId="0" applyNumberFormat="1" applyFont="1" applyFill="1" applyBorder="1" applyProtection="1">
      <protection locked="0"/>
    </xf>
    <xf numFmtId="3" fontId="147" fillId="33" borderId="866" xfId="0" applyNumberFormat="1" applyFont="1" applyFill="1" applyBorder="1" applyProtection="1">
      <protection locked="0"/>
    </xf>
    <xf numFmtId="3" fontId="21" fillId="33" borderId="867" xfId="0" applyNumberFormat="1" applyFont="1" applyFill="1" applyBorder="1" applyProtection="1">
      <protection locked="0"/>
    </xf>
    <xf numFmtId="3" fontId="21" fillId="33" borderId="868" xfId="0" applyNumberFormat="1" applyFont="1" applyFill="1" applyBorder="1" applyProtection="1">
      <protection locked="0"/>
    </xf>
    <xf numFmtId="3" fontId="13" fillId="11" borderId="34" xfId="0" applyNumberFormat="1" applyFont="1" applyFill="1" applyBorder="1"/>
    <xf numFmtId="3" fontId="133" fillId="11" borderId="34" xfId="0" applyNumberFormat="1" applyFont="1" applyFill="1" applyBorder="1"/>
    <xf numFmtId="3" fontId="13" fillId="11" borderId="869" xfId="0" applyNumberFormat="1" applyFont="1" applyFill="1" applyBorder="1"/>
    <xf numFmtId="3" fontId="27" fillId="3" borderId="717" xfId="0" applyNumberFormat="1" applyFont="1" applyFill="1" applyBorder="1"/>
    <xf numFmtId="3" fontId="21" fillId="33" borderId="860" xfId="0" applyNumberFormat="1" applyFont="1" applyFill="1" applyBorder="1" applyProtection="1">
      <protection locked="0"/>
    </xf>
    <xf numFmtId="3" fontId="21" fillId="33" borderId="861" xfId="0" applyNumberFormat="1" applyFont="1" applyFill="1" applyBorder="1" applyProtection="1">
      <protection locked="0"/>
    </xf>
    <xf numFmtId="3" fontId="147" fillId="33" borderId="861" xfId="0" applyNumberFormat="1" applyFont="1" applyFill="1" applyBorder="1" applyProtection="1">
      <protection locked="0"/>
    </xf>
    <xf numFmtId="3" fontId="21" fillId="33" borderId="865" xfId="0" applyNumberFormat="1" applyFont="1" applyFill="1" applyBorder="1" applyProtection="1">
      <protection locked="0"/>
    </xf>
    <xf numFmtId="3" fontId="105" fillId="33" borderId="870" xfId="11" applyFont="1" applyFill="1" applyBorder="1" applyAlignment="1" applyProtection="1">
      <protection locked="0"/>
    </xf>
    <xf numFmtId="3" fontId="34" fillId="33" borderId="870" xfId="0" applyNumberFormat="1" applyFont="1" applyFill="1" applyBorder="1" applyProtection="1">
      <protection locked="0"/>
    </xf>
    <xf numFmtId="3" fontId="13" fillId="11" borderId="871" xfId="0" applyNumberFormat="1" applyFont="1" applyFill="1" applyBorder="1"/>
    <xf numFmtId="3" fontId="21" fillId="33" borderId="870" xfId="0" applyNumberFormat="1" applyFont="1" applyFill="1" applyBorder="1" applyProtection="1">
      <protection locked="0"/>
    </xf>
    <xf numFmtId="3" fontId="3" fillId="3" borderId="872" xfId="15" applyFont="1" applyFill="1" applyBorder="1" applyAlignment="1" applyProtection="1">
      <alignment horizontal="center" vertical="top" wrapText="1"/>
    </xf>
    <xf numFmtId="3" fontId="13" fillId="11" borderId="860" xfId="0" applyNumberFormat="1" applyFont="1" applyFill="1" applyBorder="1"/>
    <xf numFmtId="3" fontId="13" fillId="11" borderId="861" xfId="0" applyNumberFormat="1" applyFont="1" applyFill="1" applyBorder="1"/>
    <xf numFmtId="3" fontId="13" fillId="11" borderId="870" xfId="0" applyNumberFormat="1" applyFont="1" applyFill="1" applyBorder="1"/>
    <xf numFmtId="3" fontId="0" fillId="11" borderId="615" xfId="15" applyFont="1" applyFill="1" applyBorder="1" applyAlignment="1" applyProtection="1"/>
    <xf numFmtId="3" fontId="21" fillId="33" borderId="870" xfId="11" applyFont="1" applyFill="1" applyBorder="1" applyAlignment="1" applyProtection="1">
      <protection locked="0"/>
    </xf>
    <xf numFmtId="3" fontId="13" fillId="11" borderId="873" xfId="0" applyNumberFormat="1" applyFont="1" applyFill="1" applyBorder="1"/>
    <xf numFmtId="3" fontId="27" fillId="3" borderId="615" xfId="0" applyNumberFormat="1" applyFont="1" applyFill="1" applyBorder="1"/>
    <xf numFmtId="3" fontId="27" fillId="3" borderId="613" xfId="0" applyNumberFormat="1" applyFont="1" applyFill="1" applyBorder="1"/>
    <xf numFmtId="3" fontId="19" fillId="11" borderId="874" xfId="0" applyNumberFormat="1" applyFont="1" applyFill="1" applyBorder="1"/>
    <xf numFmtId="3" fontId="27" fillId="3" borderId="874" xfId="0" applyNumberFormat="1" applyFont="1" applyFill="1" applyBorder="1"/>
    <xf numFmtId="3" fontId="13" fillId="11" borderId="874" xfId="0" applyNumberFormat="1" applyFont="1" applyFill="1" applyBorder="1"/>
    <xf numFmtId="3" fontId="13" fillId="11" borderId="614" xfId="0" applyNumberFormat="1" applyFont="1" applyFill="1" applyBorder="1"/>
    <xf numFmtId="3" fontId="21" fillId="33" borderId="36" xfId="11" applyFont="1" applyFill="1" applyBorder="1" applyAlignment="1" applyProtection="1">
      <protection locked="0"/>
    </xf>
    <xf numFmtId="3" fontId="21" fillId="33" borderId="274" xfId="11" applyFont="1" applyFill="1" applyBorder="1" applyAlignment="1" applyProtection="1">
      <protection locked="0"/>
    </xf>
    <xf numFmtId="3" fontId="0" fillId="3" borderId="875" xfId="15" applyFont="1" applyFill="1" applyBorder="1" applyAlignment="1" applyProtection="1">
      <alignment horizontal="center" vertical="top" wrapText="1"/>
    </xf>
    <xf numFmtId="3" fontId="13" fillId="11" borderId="860" xfId="11" applyFont="1" applyFill="1" applyBorder="1" applyAlignment="1" applyProtection="1"/>
    <xf numFmtId="3" fontId="13" fillId="11" borderId="861" xfId="11" applyFont="1" applyFill="1" applyBorder="1" applyAlignment="1" applyProtection="1"/>
    <xf numFmtId="3" fontId="13" fillId="11" borderId="865" xfId="11" applyFont="1" applyFill="1" applyBorder="1" applyAlignment="1" applyProtection="1"/>
    <xf numFmtId="3" fontId="21" fillId="33" borderId="388" xfId="11" applyFont="1" applyFill="1" applyBorder="1" applyAlignment="1" applyProtection="1">
      <protection locked="0"/>
    </xf>
    <xf numFmtId="3" fontId="13" fillId="11" borderId="34" xfId="1" applyNumberFormat="1" applyFont="1" applyFill="1" applyBorder="1" applyAlignment="1" applyProtection="1"/>
    <xf numFmtId="3" fontId="21" fillId="33" borderId="860" xfId="11" applyFont="1" applyFill="1" applyBorder="1" applyAlignment="1" applyProtection="1">
      <protection locked="0"/>
    </xf>
    <xf numFmtId="3" fontId="21" fillId="33" borderId="861" xfId="11" applyFont="1" applyFill="1" applyBorder="1" applyAlignment="1" applyProtection="1">
      <protection locked="0"/>
    </xf>
    <xf numFmtId="3" fontId="13" fillId="11" borderId="45" xfId="11" applyFont="1" applyFill="1" applyBorder="1" applyAlignment="1" applyProtection="1"/>
    <xf numFmtId="3" fontId="13" fillId="11" borderId="66" xfId="11" applyFont="1" applyFill="1" applyBorder="1" applyAlignment="1" applyProtection="1"/>
    <xf numFmtId="3" fontId="21" fillId="33" borderId="876" xfId="11" applyFont="1" applyFill="1" applyBorder="1" applyAlignment="1" applyProtection="1">
      <protection locked="0"/>
    </xf>
    <xf numFmtId="3" fontId="21" fillId="33" borderId="407" xfId="11" applyFont="1" applyFill="1" applyBorder="1" applyAlignment="1" applyProtection="1">
      <protection locked="0"/>
    </xf>
    <xf numFmtId="3" fontId="13" fillId="11" borderId="877" xfId="1" applyNumberFormat="1" applyFont="1" applyFill="1" applyBorder="1" applyAlignment="1" applyProtection="1"/>
    <xf numFmtId="3" fontId="13" fillId="11" borderId="873" xfId="1" applyNumberFormat="1" applyFont="1" applyFill="1" applyBorder="1" applyAlignment="1" applyProtection="1"/>
    <xf numFmtId="3" fontId="24" fillId="11" borderId="742" xfId="15" applyFont="1" applyFill="1" applyBorder="1" applyAlignment="1" applyProtection="1"/>
    <xf numFmtId="3" fontId="19" fillId="11" borderId="874" xfId="1" applyNumberFormat="1" applyFont="1" applyFill="1" applyBorder="1" applyAlignment="1" applyProtection="1"/>
    <xf numFmtId="3" fontId="27" fillId="3" borderId="614" xfId="0" applyNumberFormat="1" applyFont="1" applyFill="1" applyBorder="1"/>
    <xf numFmtId="3" fontId="13" fillId="11" borderId="878" xfId="1" applyNumberFormat="1" applyFont="1" applyFill="1" applyBorder="1" applyAlignment="1" applyProtection="1"/>
    <xf numFmtId="3" fontId="13" fillId="11" borderId="879" xfId="1" applyNumberFormat="1" applyFont="1" applyFill="1" applyBorder="1" applyAlignment="1" applyProtection="1"/>
    <xf numFmtId="3" fontId="21" fillId="33" borderId="880" xfId="11" applyFont="1" applyFill="1" applyBorder="1" applyAlignment="1" applyProtection="1">
      <protection locked="0"/>
    </xf>
    <xf numFmtId="3" fontId="13" fillId="11" borderId="880" xfId="11" applyFont="1" applyFill="1" applyBorder="1" applyAlignment="1" applyProtection="1"/>
    <xf numFmtId="3" fontId="21" fillId="33" borderId="55" xfId="11" applyFont="1" applyFill="1" applyBorder="1" applyAlignment="1" applyProtection="1">
      <protection locked="0"/>
    </xf>
    <xf numFmtId="3" fontId="13" fillId="11" borderId="55" xfId="11" applyFont="1" applyFill="1" applyBorder="1" applyAlignment="1" applyProtection="1"/>
    <xf numFmtId="3" fontId="21" fillId="33" borderId="881" xfId="11" applyFont="1" applyFill="1" applyBorder="1" applyAlignment="1" applyProtection="1">
      <protection locked="0"/>
    </xf>
    <xf numFmtId="3" fontId="13" fillId="11" borderId="881" xfId="11" applyFont="1" applyFill="1" applyBorder="1" applyAlignment="1" applyProtection="1"/>
    <xf numFmtId="0" fontId="4" fillId="44" borderId="742" xfId="0" applyFont="1" applyFill="1" applyBorder="1" applyAlignment="1">
      <alignment horizontal="left"/>
    </xf>
    <xf numFmtId="0" fontId="4" fillId="44" borderId="0" xfId="0" applyFont="1" applyFill="1" applyAlignment="1">
      <alignment horizontal="left"/>
    </xf>
    <xf numFmtId="0" fontId="4" fillId="44" borderId="177" xfId="0" applyFont="1" applyFill="1" applyBorder="1" applyAlignment="1">
      <alignment horizontal="left"/>
    </xf>
    <xf numFmtId="0" fontId="38" fillId="44" borderId="742" xfId="0" applyFont="1" applyFill="1" applyBorder="1" applyAlignment="1">
      <alignment horizontal="left"/>
    </xf>
    <xf numFmtId="0" fontId="5" fillId="41" borderId="568" xfId="0" applyFont="1" applyFill="1" applyBorder="1" applyAlignment="1">
      <alignment horizontal="right" vertical="top"/>
    </xf>
    <xf numFmtId="0" fontId="5" fillId="41" borderId="569" xfId="0" applyFont="1" applyFill="1" applyBorder="1" applyAlignment="1">
      <alignment horizontal="right" vertical="top"/>
    </xf>
    <xf numFmtId="0" fontId="5" fillId="41" borderId="548" xfId="0" applyFont="1" applyFill="1" applyBorder="1" applyAlignment="1">
      <alignment horizontal="right" vertical="top"/>
    </xf>
    <xf numFmtId="0" fontId="4" fillId="41" borderId="563" xfId="0" applyFont="1" applyFill="1" applyBorder="1" applyAlignment="1">
      <alignment horizontal="left" wrapText="1"/>
    </xf>
    <xf numFmtId="0" fontId="4" fillId="41" borderId="564" xfId="0" applyFont="1" applyFill="1" applyBorder="1" applyAlignment="1">
      <alignment horizontal="left" wrapText="1"/>
    </xf>
    <xf numFmtId="0" fontId="4" fillId="41" borderId="558" xfId="0" applyFont="1" applyFill="1" applyBorder="1" applyAlignment="1">
      <alignment horizontal="left" wrapText="1"/>
    </xf>
    <xf numFmtId="0" fontId="38" fillId="42" borderId="742" xfId="0" applyFont="1" applyFill="1" applyBorder="1" applyAlignment="1">
      <alignment horizontal="left" wrapText="1"/>
    </xf>
    <xf numFmtId="0" fontId="38" fillId="42" borderId="0" xfId="0" applyFont="1" applyFill="1" applyAlignment="1">
      <alignment horizontal="left" wrapText="1"/>
    </xf>
    <xf numFmtId="0" fontId="38" fillId="42" borderId="177" xfId="0" applyFont="1" applyFill="1" applyBorder="1" applyAlignment="1">
      <alignment horizontal="left" wrapText="1"/>
    </xf>
    <xf numFmtId="0" fontId="0" fillId="0" borderId="0" xfId="0" applyAlignment="1">
      <alignment horizontal="center"/>
    </xf>
    <xf numFmtId="0" fontId="4" fillId="14" borderId="559" xfId="0" applyFont="1" applyFill="1" applyBorder="1" applyAlignment="1">
      <alignment horizontal="left" wrapText="1"/>
    </xf>
    <xf numFmtId="0" fontId="5" fillId="14" borderId="559" xfId="0" applyFont="1" applyFill="1" applyBorder="1" applyAlignment="1">
      <alignment horizontal="right" vertical="top" wrapText="1"/>
    </xf>
    <xf numFmtId="0" fontId="118" fillId="0" borderId="0" xfId="0" applyFont="1" applyAlignment="1">
      <alignment horizontal="center"/>
    </xf>
    <xf numFmtId="0" fontId="4" fillId="33" borderId="0" xfId="0" applyFont="1" applyFill="1" applyAlignment="1">
      <alignment horizontal="center"/>
    </xf>
    <xf numFmtId="0" fontId="38" fillId="44" borderId="843" xfId="0" applyFont="1" applyFill="1" applyBorder="1" applyAlignment="1">
      <alignment horizontal="left"/>
    </xf>
    <xf numFmtId="0" fontId="38" fillId="44" borderId="841" xfId="0" applyFont="1" applyFill="1" applyBorder="1" applyAlignment="1">
      <alignment horizontal="left"/>
    </xf>
    <xf numFmtId="0" fontId="38" fillId="44" borderId="842" xfId="0" applyFont="1" applyFill="1" applyBorder="1" applyAlignment="1">
      <alignment horizontal="left"/>
    </xf>
    <xf numFmtId="0" fontId="38" fillId="44" borderId="742" xfId="0" applyFont="1" applyFill="1" applyBorder="1" applyAlignment="1">
      <alignment horizontal="left" wrapText="1"/>
    </xf>
    <xf numFmtId="0" fontId="38" fillId="44" borderId="0" xfId="0" applyFont="1" applyFill="1" applyAlignment="1">
      <alignment horizontal="left" wrapText="1"/>
    </xf>
    <xf numFmtId="0" fontId="38" fillId="44" borderId="177" xfId="0" applyFont="1" applyFill="1" applyBorder="1" applyAlignment="1">
      <alignment horizontal="left" wrapText="1"/>
    </xf>
    <xf numFmtId="0" fontId="4" fillId="42" borderId="742" xfId="0" applyFont="1" applyFill="1" applyBorder="1" applyAlignment="1">
      <alignment horizontal="left" wrapText="1"/>
    </xf>
    <xf numFmtId="0" fontId="4" fillId="42" borderId="0" xfId="0" applyFont="1" applyFill="1" applyAlignment="1">
      <alignment horizontal="left" wrapText="1"/>
    </xf>
    <xf numFmtId="0" fontId="4" fillId="42" borderId="177" xfId="0" applyFont="1" applyFill="1" applyBorder="1" applyAlignment="1">
      <alignment horizontal="left" wrapText="1"/>
    </xf>
    <xf numFmtId="0" fontId="4" fillId="42" borderId="648" xfId="0" applyFont="1" applyFill="1" applyBorder="1" applyAlignment="1">
      <alignment horizontal="left" wrapText="1"/>
    </xf>
    <xf numFmtId="0" fontId="4" fillId="42" borderId="606" xfId="0" applyFont="1" applyFill="1" applyBorder="1" applyAlignment="1">
      <alignment horizontal="left" wrapText="1"/>
    </xf>
    <xf numFmtId="0" fontId="4" fillId="42" borderId="610" xfId="0" applyFont="1" applyFill="1" applyBorder="1" applyAlignment="1">
      <alignment horizontal="left" wrapText="1"/>
    </xf>
    <xf numFmtId="0" fontId="0" fillId="6" borderId="472" xfId="0" applyFill="1" applyBorder="1" applyAlignment="1">
      <alignment horizontal="left" wrapText="1"/>
    </xf>
    <xf numFmtId="0" fontId="0" fillId="6" borderId="0" xfId="0" applyFill="1" applyAlignment="1">
      <alignment horizontal="left" wrapText="1"/>
    </xf>
    <xf numFmtId="0" fontId="0" fillId="6" borderId="111" xfId="0" applyFill="1" applyBorder="1" applyAlignment="1">
      <alignment horizontal="left" wrapText="1"/>
    </xf>
    <xf numFmtId="0" fontId="0" fillId="6" borderId="561" xfId="0" applyFill="1" applyBorder="1" applyAlignment="1">
      <alignment horizontal="left" wrapText="1"/>
    </xf>
    <xf numFmtId="0" fontId="0" fillId="6" borderId="163" xfId="0" applyFill="1" applyBorder="1" applyAlignment="1">
      <alignment horizontal="left" wrapText="1"/>
    </xf>
    <xf numFmtId="0" fontId="0" fillId="6" borderId="560" xfId="0" applyFill="1" applyBorder="1" applyAlignment="1">
      <alignment horizontal="left" wrapText="1"/>
    </xf>
    <xf numFmtId="0" fontId="4" fillId="44" borderId="742" xfId="0" applyFont="1" applyFill="1" applyBorder="1" applyAlignment="1">
      <alignment horizontal="left" wrapText="1"/>
    </xf>
    <xf numFmtId="0" fontId="4" fillId="44" borderId="0" xfId="0" applyFont="1" applyFill="1" applyAlignment="1">
      <alignment horizontal="left" wrapText="1"/>
    </xf>
    <xf numFmtId="0" fontId="4" fillId="44" borderId="177" xfId="0" applyFont="1" applyFill="1" applyBorder="1" applyAlignment="1">
      <alignment horizontal="left" wrapText="1"/>
    </xf>
    <xf numFmtId="0" fontId="4" fillId="44" borderId="648" xfId="0" applyFont="1" applyFill="1" applyBorder="1" applyAlignment="1">
      <alignment horizontal="left" wrapText="1"/>
    </xf>
    <xf numFmtId="0" fontId="4" fillId="44" borderId="509" xfId="0" applyFont="1" applyFill="1" applyBorder="1" applyAlignment="1">
      <alignment horizontal="left" wrapText="1"/>
    </xf>
    <xf numFmtId="0" fontId="4" fillId="44" borderId="510" xfId="0" applyFont="1" applyFill="1" applyBorder="1" applyAlignment="1">
      <alignment horizontal="left" wrapText="1"/>
    </xf>
    <xf numFmtId="0" fontId="5" fillId="42" borderId="559" xfId="0" applyFont="1" applyFill="1" applyBorder="1" applyAlignment="1">
      <alignment horizontal="right" vertical="top"/>
    </xf>
    <xf numFmtId="0" fontId="38" fillId="42" borderId="813" xfId="0" applyFont="1" applyFill="1" applyBorder="1" applyAlignment="1">
      <alignment horizontal="left" wrapText="1"/>
    </xf>
    <xf numFmtId="0" fontId="38" fillId="42" borderId="814" xfId="0" applyFont="1" applyFill="1" applyBorder="1" applyAlignment="1">
      <alignment horizontal="left" wrapText="1"/>
    </xf>
    <xf numFmtId="0" fontId="38" fillId="42" borderId="815" xfId="0" applyFont="1" applyFill="1" applyBorder="1" applyAlignment="1">
      <alignment horizontal="left" wrapText="1"/>
    </xf>
    <xf numFmtId="0" fontId="4" fillId="44" borderId="559" xfId="0" applyFont="1" applyFill="1" applyBorder="1" applyAlignment="1">
      <alignment horizontal="left" vertical="top" wrapText="1"/>
    </xf>
    <xf numFmtId="0" fontId="5" fillId="44" borderId="559" xfId="0" applyFont="1" applyFill="1" applyBorder="1" applyAlignment="1">
      <alignment horizontal="right" vertical="top"/>
    </xf>
    <xf numFmtId="0" fontId="4" fillId="41" borderId="563" xfId="0" applyFont="1" applyFill="1" applyBorder="1" applyAlignment="1">
      <alignment horizontal="left"/>
    </xf>
    <xf numFmtId="0" fontId="4" fillId="41" borderId="564" xfId="0" applyFont="1" applyFill="1" applyBorder="1" applyAlignment="1">
      <alignment horizontal="left"/>
    </xf>
    <xf numFmtId="0" fontId="4" fillId="41" borderId="558" xfId="0" applyFont="1" applyFill="1" applyBorder="1" applyAlignment="1">
      <alignment horizontal="left"/>
    </xf>
    <xf numFmtId="0" fontId="4" fillId="41" borderId="559" xfId="0" applyFont="1" applyFill="1" applyBorder="1" applyAlignment="1">
      <alignment horizontal="left" wrapText="1"/>
    </xf>
    <xf numFmtId="0" fontId="4" fillId="42" borderId="559" xfId="0" applyFont="1" applyFill="1" applyBorder="1" applyAlignment="1">
      <alignment horizontal="left" vertical="top" wrapText="1"/>
    </xf>
    <xf numFmtId="0" fontId="4" fillId="42" borderId="559" xfId="0" applyFont="1" applyFill="1" applyBorder="1" applyAlignment="1">
      <alignment horizontal="left" wrapText="1"/>
    </xf>
    <xf numFmtId="0" fontId="4" fillId="50" borderId="565" xfId="0" applyFont="1" applyFill="1" applyBorder="1" applyAlignment="1">
      <alignment vertical="top" wrapText="1"/>
    </xf>
    <xf numFmtId="0" fontId="4" fillId="50" borderId="566" xfId="0" applyFont="1" applyFill="1" applyBorder="1" applyAlignment="1">
      <alignment vertical="top" wrapText="1"/>
    </xf>
    <xf numFmtId="0" fontId="4" fillId="50" borderId="567" xfId="0" applyFont="1" applyFill="1" applyBorder="1" applyAlignment="1">
      <alignment vertical="top" wrapText="1"/>
    </xf>
    <xf numFmtId="0" fontId="4" fillId="50" borderId="472" xfId="0" applyFont="1" applyFill="1" applyBorder="1" applyAlignment="1">
      <alignment vertical="top" wrapText="1"/>
    </xf>
    <xf numFmtId="0" fontId="4" fillId="50" borderId="0" xfId="0" applyFont="1" applyFill="1" applyAlignment="1">
      <alignment vertical="top" wrapText="1"/>
    </xf>
    <xf numFmtId="0" fontId="4" fillId="50" borderId="111" xfId="0" applyFont="1" applyFill="1" applyBorder="1" applyAlignment="1">
      <alignment vertical="top" wrapText="1"/>
    </xf>
    <xf numFmtId="0" fontId="4" fillId="50" borderId="561" xfId="0" applyFont="1" applyFill="1" applyBorder="1" applyAlignment="1">
      <alignment vertical="top" wrapText="1"/>
    </xf>
    <xf numFmtId="0" fontId="4" fillId="50" borderId="163" xfId="0" applyFont="1" applyFill="1" applyBorder="1" applyAlignment="1">
      <alignment vertical="top" wrapText="1"/>
    </xf>
    <xf numFmtId="0" fontId="4" fillId="50" borderId="560" xfId="0" applyFont="1" applyFill="1" applyBorder="1" applyAlignment="1">
      <alignment vertical="top" wrapText="1"/>
    </xf>
    <xf numFmtId="0" fontId="5" fillId="50" borderId="559" xfId="0" applyFont="1" applyFill="1" applyBorder="1" applyAlignment="1">
      <alignment horizontal="right" vertical="top"/>
    </xf>
    <xf numFmtId="0" fontId="4" fillId="41" borderId="559" xfId="0" applyFont="1" applyFill="1" applyBorder="1" applyAlignment="1">
      <alignment horizontal="left" vertical="top" wrapText="1"/>
    </xf>
    <xf numFmtId="0" fontId="4" fillId="43" borderId="559" xfId="0" applyFont="1" applyFill="1" applyBorder="1" applyAlignment="1">
      <alignment horizontal="left" wrapText="1"/>
    </xf>
    <xf numFmtId="0" fontId="5" fillId="43" borderId="559" xfId="0" applyFont="1" applyFill="1" applyBorder="1" applyAlignment="1">
      <alignment horizontal="right" vertical="top"/>
    </xf>
    <xf numFmtId="0" fontId="4" fillId="50" borderId="559" xfId="0" applyFont="1" applyFill="1" applyBorder="1" applyAlignment="1">
      <alignment horizontal="left" vertical="top" wrapText="1"/>
    </xf>
    <xf numFmtId="0" fontId="73" fillId="10" borderId="0" xfId="0" applyFont="1" applyFill="1" applyAlignment="1">
      <alignment horizontal="left" wrapText="1"/>
    </xf>
    <xf numFmtId="0" fontId="4" fillId="65" borderId="0" xfId="0" applyFont="1" applyFill="1" applyAlignment="1">
      <alignment horizontal="left" wrapText="1"/>
    </xf>
    <xf numFmtId="0" fontId="4" fillId="69" borderId="0" xfId="0" applyFont="1" applyFill="1" applyAlignment="1">
      <alignment horizontal="left" wrapText="1"/>
    </xf>
    <xf numFmtId="0" fontId="29" fillId="71" borderId="0" xfId="0" applyFont="1" applyFill="1" applyAlignment="1">
      <alignment horizontal="left" wrapText="1"/>
    </xf>
    <xf numFmtId="0" fontId="4" fillId="71" borderId="0" xfId="0" applyFont="1" applyFill="1" applyAlignment="1">
      <alignment horizontal="left" wrapText="1"/>
    </xf>
    <xf numFmtId="0" fontId="29" fillId="63" borderId="0" xfId="0" applyFont="1" applyFill="1" applyAlignment="1">
      <alignment horizontal="left"/>
    </xf>
    <xf numFmtId="0" fontId="4" fillId="65" borderId="0" xfId="0" applyFont="1" applyFill="1" applyAlignment="1">
      <alignment horizontal="left"/>
    </xf>
    <xf numFmtId="0" fontId="4" fillId="64" borderId="0" xfId="0" applyFont="1" applyFill="1" applyAlignment="1">
      <alignment horizontal="left" wrapText="1"/>
    </xf>
    <xf numFmtId="0" fontId="4" fillId="64" borderId="0" xfId="0" applyFont="1" applyFill="1" applyAlignment="1">
      <alignment horizontal="left"/>
    </xf>
    <xf numFmtId="0" fontId="29" fillId="64" borderId="0" xfId="0" applyFont="1" applyFill="1" applyAlignment="1">
      <alignment horizontal="left"/>
    </xf>
    <xf numFmtId="0" fontId="29" fillId="65" borderId="0" xfId="0" applyFont="1" applyFill="1" applyAlignment="1">
      <alignment horizontal="left"/>
    </xf>
    <xf numFmtId="0" fontId="183" fillId="65" borderId="0" xfId="0" applyFont="1" applyFill="1" applyAlignment="1">
      <alignment horizontal="left" wrapText="1"/>
    </xf>
    <xf numFmtId="0" fontId="29" fillId="0" borderId="0" xfId="0" applyFont="1" applyAlignment="1">
      <alignment horizontal="left"/>
    </xf>
    <xf numFmtId="0" fontId="29" fillId="41" borderId="0" xfId="0" applyFont="1" applyFill="1" applyAlignment="1">
      <alignment horizontal="left"/>
    </xf>
    <xf numFmtId="0" fontId="4" fillId="41" borderId="0" xfId="0" applyFont="1" applyFill="1" applyAlignment="1">
      <alignment horizontal="left" wrapText="1"/>
    </xf>
    <xf numFmtId="0" fontId="4" fillId="79" borderId="0" xfId="0" applyFont="1" applyFill="1" applyAlignment="1">
      <alignment horizontal="left" wrapText="1"/>
    </xf>
    <xf numFmtId="0" fontId="4" fillId="0" borderId="0" xfId="0" applyFont="1" applyAlignment="1">
      <alignment horizontal="left" wrapText="1"/>
    </xf>
    <xf numFmtId="0" fontId="4" fillId="42" borderId="0" xfId="0" applyFont="1" applyFill="1" applyAlignment="1">
      <alignment horizontal="left"/>
    </xf>
    <xf numFmtId="0" fontId="29" fillId="42" borderId="0" xfId="0" applyFont="1" applyFill="1" applyAlignment="1">
      <alignment horizontal="left"/>
    </xf>
    <xf numFmtId="181" fontId="93" fillId="0" borderId="0" xfId="174" applyNumberFormat="1" applyFont="1" applyFill="1" applyAlignment="1" applyProtection="1">
      <alignment vertical="center"/>
    </xf>
    <xf numFmtId="0" fontId="0" fillId="0" borderId="0" xfId="0" applyAlignment="1">
      <alignment vertical="center"/>
    </xf>
    <xf numFmtId="0" fontId="0" fillId="0" borderId="233" xfId="0" applyBorder="1" applyAlignment="1">
      <alignment horizontal="left"/>
    </xf>
    <xf numFmtId="0" fontId="0" fillId="0" borderId="190" xfId="0" applyBorder="1" applyAlignment="1">
      <alignment horizontal="left"/>
    </xf>
    <xf numFmtId="0" fontId="0" fillId="0" borderId="311" xfId="0" applyBorder="1" applyAlignment="1">
      <alignment horizontal="left"/>
    </xf>
    <xf numFmtId="0" fontId="104" fillId="7" borderId="113" xfId="0" applyFont="1" applyFill="1" applyBorder="1" applyAlignment="1">
      <alignment horizontal="left" wrapText="1"/>
    </xf>
    <xf numFmtId="0" fontId="104" fillId="7" borderId="197" xfId="0" applyFont="1" applyFill="1" applyBorder="1" applyAlignment="1">
      <alignment horizontal="left" wrapText="1"/>
    </xf>
    <xf numFmtId="0" fontId="104" fillId="7" borderId="114" xfId="0" applyFont="1" applyFill="1" applyBorder="1" applyAlignment="1">
      <alignment horizontal="left"/>
    </xf>
    <xf numFmtId="0" fontId="104" fillId="7" borderId="83" xfId="0" applyFont="1" applyFill="1" applyBorder="1" applyAlignment="1">
      <alignment horizontal="left"/>
    </xf>
    <xf numFmtId="0" fontId="38" fillId="8" borderId="165" xfId="0" applyFont="1" applyFill="1" applyBorder="1" applyAlignment="1">
      <alignment horizontal="center"/>
    </xf>
    <xf numFmtId="0" fontId="38" fillId="8" borderId="143" xfId="0" applyFont="1" applyFill="1" applyBorder="1" applyAlignment="1">
      <alignment horizontal="center"/>
    </xf>
    <xf numFmtId="0" fontId="38" fillId="8" borderId="217" xfId="0" applyFont="1" applyFill="1" applyBorder="1" applyAlignment="1">
      <alignment horizontal="center"/>
    </xf>
    <xf numFmtId="0" fontId="38" fillId="8" borderId="111" xfId="0" applyFont="1" applyFill="1" applyBorder="1" applyAlignment="1">
      <alignment horizontal="center"/>
    </xf>
    <xf numFmtId="0" fontId="38" fillId="8" borderId="297" xfId="0" applyFont="1" applyFill="1" applyBorder="1" applyAlignment="1">
      <alignment horizontal="center"/>
    </xf>
    <xf numFmtId="0" fontId="38" fillId="8" borderId="129" xfId="0" applyFont="1" applyFill="1" applyBorder="1" applyAlignment="1">
      <alignment horizontal="center"/>
    </xf>
    <xf numFmtId="0" fontId="104" fillId="7" borderId="113" xfId="0" applyFont="1" applyFill="1" applyBorder="1" applyAlignment="1">
      <alignment horizontal="left"/>
    </xf>
    <xf numFmtId="0" fontId="104" fillId="7" borderId="197" xfId="0" applyFont="1" applyFill="1" applyBorder="1" applyAlignment="1">
      <alignment horizontal="left"/>
    </xf>
    <xf numFmtId="0" fontId="104" fillId="8" borderId="113" xfId="0" applyFont="1" applyFill="1" applyBorder="1" applyAlignment="1">
      <alignment horizontal="left"/>
    </xf>
    <xf numFmtId="0" fontId="104" fillId="8" borderId="197" xfId="0" applyFont="1" applyFill="1" applyBorder="1" applyAlignment="1">
      <alignment horizontal="left"/>
    </xf>
    <xf numFmtId="0" fontId="104" fillId="7" borderId="113" xfId="0" applyFont="1" applyFill="1" applyBorder="1" applyAlignment="1">
      <alignment horizontal="center"/>
    </xf>
    <xf numFmtId="0" fontId="104" fillId="7" borderId="197" xfId="0" applyFont="1" applyFill="1" applyBorder="1" applyAlignment="1">
      <alignment horizontal="center"/>
    </xf>
    <xf numFmtId="0" fontId="0" fillId="0" borderId="246" xfId="0" applyBorder="1" applyAlignment="1">
      <alignment horizontal="left" vertical="top" wrapText="1"/>
    </xf>
    <xf numFmtId="0" fontId="0" fillId="0" borderId="247" xfId="0" applyBorder="1" applyAlignment="1">
      <alignment horizontal="left" vertical="top" wrapText="1"/>
    </xf>
    <xf numFmtId="0" fontId="0" fillId="0" borderId="248" xfId="0" applyBorder="1" applyAlignment="1">
      <alignment horizontal="left" vertical="top" wrapText="1"/>
    </xf>
    <xf numFmtId="0" fontId="99" fillId="33" borderId="293" xfId="0" applyFont="1" applyFill="1" applyBorder="1" applyAlignment="1" applyProtection="1">
      <alignment horizontal="center" vertical="center"/>
      <protection locked="0"/>
    </xf>
    <xf numFmtId="0" fontId="99" fillId="33" borderId="294" xfId="0" applyFont="1" applyFill="1" applyBorder="1" applyAlignment="1" applyProtection="1">
      <alignment horizontal="center" vertical="center"/>
      <protection locked="0"/>
    </xf>
    <xf numFmtId="0" fontId="5" fillId="0" borderId="226" xfId="0" applyFont="1" applyBorder="1" applyAlignment="1">
      <alignment horizontal="left"/>
    </xf>
    <xf numFmtId="0" fontId="5" fillId="0" borderId="223" xfId="0" applyFont="1" applyBorder="1" applyAlignment="1">
      <alignment horizontal="left"/>
    </xf>
    <xf numFmtId="0" fontId="5" fillId="0" borderId="135" xfId="0" applyFont="1" applyBorder="1" applyAlignment="1">
      <alignment horizontal="left"/>
    </xf>
    <xf numFmtId="0" fontId="63" fillId="7" borderId="246" xfId="0" applyFont="1" applyFill="1" applyBorder="1" applyAlignment="1">
      <alignment horizontal="center" vertical="center"/>
    </xf>
    <xf numFmtId="0" fontId="63" fillId="7" borderId="247" xfId="0" applyFont="1" applyFill="1" applyBorder="1" applyAlignment="1">
      <alignment horizontal="center" vertical="center"/>
    </xf>
    <xf numFmtId="0" fontId="63" fillId="7" borderId="248" xfId="0" applyFont="1" applyFill="1" applyBorder="1" applyAlignment="1">
      <alignment horizontal="center" vertical="center"/>
    </xf>
    <xf numFmtId="0" fontId="12" fillId="0" borderId="0" xfId="0" applyFont="1" applyAlignment="1">
      <alignment horizontal="center"/>
    </xf>
    <xf numFmtId="0" fontId="63" fillId="33" borderId="165" xfId="0" applyFont="1" applyFill="1" applyBorder="1" applyAlignment="1" applyProtection="1">
      <alignment horizontal="center" vertical="center"/>
      <protection locked="0"/>
    </xf>
    <xf numFmtId="0" fontId="63" fillId="33" borderId="231" xfId="0" applyFont="1" applyFill="1" applyBorder="1" applyAlignment="1" applyProtection="1">
      <alignment horizontal="center" vertical="center"/>
      <protection locked="0"/>
    </xf>
    <xf numFmtId="0" fontId="63" fillId="33" borderId="167" xfId="0" applyFont="1" applyFill="1" applyBorder="1" applyAlignment="1" applyProtection="1">
      <alignment horizontal="center" vertical="center"/>
      <protection locked="0"/>
    </xf>
    <xf numFmtId="0" fontId="5" fillId="0" borderId="165" xfId="0" applyFont="1" applyBorder="1" applyAlignment="1">
      <alignment horizontal="left"/>
    </xf>
    <xf numFmtId="0" fontId="5" fillId="0" borderId="231" xfId="0" applyFont="1" applyBorder="1" applyAlignment="1">
      <alignment horizontal="left"/>
    </xf>
    <xf numFmtId="0" fontId="5" fillId="0" borderId="167" xfId="0" applyFont="1" applyBorder="1" applyAlignment="1">
      <alignment horizontal="left"/>
    </xf>
    <xf numFmtId="3" fontId="112" fillId="3" borderId="241" xfId="15" applyFont="1" applyFill="1" applyBorder="1" applyAlignment="1" applyProtection="1">
      <alignment horizontal="center" vertical="center" wrapText="1"/>
    </xf>
    <xf numFmtId="3" fontId="112" fillId="3" borderId="337" xfId="15" applyFont="1" applyFill="1" applyBorder="1" applyAlignment="1" applyProtection="1">
      <alignment horizontal="center" vertical="center" wrapText="1"/>
    </xf>
    <xf numFmtId="0" fontId="2" fillId="30" borderId="347" xfId="0" applyFont="1" applyFill="1" applyBorder="1" applyAlignment="1">
      <alignment horizontal="left" wrapText="1"/>
    </xf>
    <xf numFmtId="0" fontId="2" fillId="30" borderId="419" xfId="0" applyFont="1" applyFill="1" applyBorder="1" applyAlignment="1">
      <alignment horizontal="left" wrapText="1"/>
    </xf>
    <xf numFmtId="0" fontId="2" fillId="30" borderId="348" xfId="0" applyFont="1" applyFill="1" applyBorder="1" applyAlignment="1">
      <alignment horizontal="left" wrapText="1"/>
    </xf>
    <xf numFmtId="0" fontId="2" fillId="30" borderId="349" xfId="0" applyFont="1" applyFill="1" applyBorder="1" applyAlignment="1">
      <alignment horizontal="left" wrapText="1"/>
    </xf>
    <xf numFmtId="0" fontId="2" fillId="30" borderId="226" xfId="0" applyFont="1" applyFill="1" applyBorder="1" applyAlignment="1">
      <alignment horizontal="left"/>
    </xf>
    <xf numFmtId="0" fontId="2" fillId="30" borderId="223" xfId="0" applyFont="1" applyFill="1" applyBorder="1" applyAlignment="1">
      <alignment horizontal="left"/>
    </xf>
    <xf numFmtId="0" fontId="2" fillId="30" borderId="135" xfId="0" applyFont="1" applyFill="1" applyBorder="1" applyAlignment="1">
      <alignment horizontal="left"/>
    </xf>
    <xf numFmtId="0" fontId="2" fillId="30" borderId="125" xfId="0" applyFont="1" applyFill="1" applyBorder="1" applyAlignment="1">
      <alignment horizontal="left" wrapText="1"/>
    </xf>
    <xf numFmtId="0" fontId="75" fillId="20" borderId="193" xfId="14" applyNumberFormat="1" applyFont="1" applyFill="1" applyBorder="1" applyAlignment="1" applyProtection="1">
      <alignment horizontal="center" wrapText="1"/>
    </xf>
    <xf numFmtId="0" fontId="75" fillId="0" borderId="0" xfId="14" applyFont="1" applyBorder="1" applyAlignment="1">
      <alignment horizontal="center"/>
    </xf>
    <xf numFmtId="0" fontId="0" fillId="0" borderId="231" xfId="0" applyBorder="1" applyAlignment="1">
      <alignment horizontal="center"/>
    </xf>
    <xf numFmtId="3" fontId="0" fillId="0" borderId="231" xfId="15" applyFont="1" applyFill="1" applyBorder="1" applyAlignment="1" applyProtection="1">
      <alignment horizontal="center"/>
    </xf>
    <xf numFmtId="0" fontId="0" fillId="11" borderId="193" xfId="0" applyFill="1" applyBorder="1"/>
    <xf numFmtId="0" fontId="0" fillId="11" borderId="0" xfId="0" applyFill="1"/>
    <xf numFmtId="0" fontId="75" fillId="20" borderId="193" xfId="14" applyNumberFormat="1" applyFont="1" applyFill="1" applyBorder="1" applyAlignment="1" applyProtection="1">
      <alignment horizontal="center"/>
    </xf>
    <xf numFmtId="0" fontId="75" fillId="20" borderId="0" xfId="14" applyNumberFormat="1" applyFont="1" applyFill="1" applyBorder="1" applyAlignment="1" applyProtection="1">
      <alignment horizontal="center"/>
    </xf>
    <xf numFmtId="0" fontId="75" fillId="10" borderId="193" xfId="0" applyFont="1" applyFill="1" applyBorder="1" applyAlignment="1">
      <alignment horizontal="center"/>
    </xf>
    <xf numFmtId="0" fontId="75" fillId="10" borderId="0" xfId="0" applyFont="1" applyFill="1" applyAlignment="1">
      <alignment horizontal="center"/>
    </xf>
    <xf numFmtId="0" fontId="0" fillId="0" borderId="168" xfId="0" applyBorder="1"/>
    <xf numFmtId="0" fontId="75" fillId="20" borderId="217" xfId="14" applyNumberFormat="1" applyFont="1" applyFill="1" applyBorder="1" applyAlignment="1" applyProtection="1">
      <alignment horizontal="center"/>
    </xf>
    <xf numFmtId="0" fontId="75" fillId="20" borderId="246" xfId="14" applyNumberFormat="1" applyFont="1" applyFill="1" applyBorder="1" applyAlignment="1" applyProtection="1">
      <alignment horizontal="center"/>
    </xf>
    <xf numFmtId="0" fontId="75" fillId="20" borderId="247" xfId="14" applyNumberFormat="1" applyFont="1" applyFill="1" applyBorder="1" applyAlignment="1" applyProtection="1">
      <alignment horizontal="center"/>
    </xf>
    <xf numFmtId="0" fontId="2" fillId="11" borderId="193" xfId="0" applyFont="1" applyFill="1" applyBorder="1" applyAlignment="1">
      <alignment horizontal="center" wrapText="1"/>
    </xf>
    <xf numFmtId="0" fontId="2" fillId="11" borderId="0" xfId="0" applyFont="1" applyFill="1" applyAlignment="1">
      <alignment horizontal="center" wrapText="1"/>
    </xf>
    <xf numFmtId="0" fontId="10" fillId="20" borderId="193" xfId="14" applyNumberFormat="1" applyFill="1" applyBorder="1" applyAlignment="1" applyProtection="1">
      <alignment horizontal="center"/>
    </xf>
    <xf numFmtId="0" fontId="10" fillId="20" borderId="0" xfId="14" applyNumberFormat="1" applyFill="1" applyBorder="1" applyAlignment="1" applyProtection="1">
      <alignment horizontal="center"/>
    </xf>
    <xf numFmtId="0" fontId="107" fillId="59" borderId="226" xfId="0" applyFont="1" applyFill="1" applyBorder="1" applyAlignment="1">
      <alignment horizontal="left" vertical="top" wrapText="1"/>
    </xf>
    <xf numFmtId="0" fontId="107" fillId="59" borderId="223" xfId="0" applyFont="1" applyFill="1" applyBorder="1" applyAlignment="1">
      <alignment horizontal="left" vertical="top" wrapText="1"/>
    </xf>
    <xf numFmtId="0" fontId="107" fillId="59" borderId="135" xfId="0" applyFont="1" applyFill="1" applyBorder="1" applyAlignment="1">
      <alignment horizontal="left" vertical="top" wrapText="1"/>
    </xf>
    <xf numFmtId="0" fontId="105" fillId="7" borderId="87" xfId="15" applyNumberFormat="1" applyFont="1" applyFill="1" applyBorder="1" applyAlignment="1" applyProtection="1">
      <alignment horizontal="left"/>
    </xf>
    <xf numFmtId="0" fontId="105" fillId="7" borderId="95" xfId="15" applyNumberFormat="1" applyFont="1" applyFill="1" applyBorder="1" applyAlignment="1" applyProtection="1">
      <alignment horizontal="left"/>
    </xf>
    <xf numFmtId="0" fontId="105" fillId="7" borderId="128" xfId="15" applyNumberFormat="1" applyFont="1" applyFill="1" applyBorder="1" applyAlignment="1" applyProtection="1">
      <alignment horizontal="left"/>
    </xf>
    <xf numFmtId="3" fontId="2" fillId="7" borderId="0" xfId="15" applyFont="1" applyFill="1" applyBorder="1" applyAlignment="1" applyProtection="1">
      <alignment horizontal="left" wrapText="1"/>
    </xf>
    <xf numFmtId="3" fontId="2" fillId="7" borderId="49" xfId="15" applyFont="1" applyFill="1" applyBorder="1" applyAlignment="1" applyProtection="1">
      <alignment horizontal="left" wrapText="1"/>
    </xf>
    <xf numFmtId="3" fontId="53" fillId="7" borderId="0" xfId="15" applyFont="1" applyFill="1" applyBorder="1" applyAlignment="1" applyProtection="1">
      <alignment horizontal="left" vertical="center" wrapText="1"/>
    </xf>
    <xf numFmtId="3" fontId="53" fillId="7" borderId="111" xfId="15" applyFont="1" applyFill="1" applyBorder="1" applyAlignment="1" applyProtection="1">
      <alignment horizontal="left" vertical="center" wrapText="1"/>
    </xf>
    <xf numFmtId="3" fontId="105" fillId="7" borderId="161" xfId="15" applyFont="1" applyFill="1" applyBorder="1" applyAlignment="1" applyProtection="1">
      <alignment horizontal="left"/>
    </xf>
    <xf numFmtId="3" fontId="105" fillId="7" borderId="86" xfId="15" applyFont="1" applyFill="1" applyBorder="1" applyAlignment="1" applyProtection="1">
      <alignment horizontal="left"/>
    </xf>
    <xf numFmtId="3" fontId="105" fillId="7" borderId="326" xfId="15" applyFont="1" applyFill="1" applyBorder="1" applyAlignment="1" applyProtection="1">
      <alignment horizontal="left"/>
    </xf>
    <xf numFmtId="3" fontId="109" fillId="7" borderId="87" xfId="15" applyFont="1" applyFill="1" applyBorder="1" applyAlignment="1" applyProtection="1">
      <alignment horizontal="center"/>
    </xf>
    <xf numFmtId="3" fontId="109" fillId="7" borderId="95" xfId="15" applyFont="1" applyFill="1" applyBorder="1" applyAlignment="1" applyProtection="1">
      <alignment horizontal="center"/>
    </xf>
    <xf numFmtId="3" fontId="109" fillId="7" borderId="128" xfId="15" applyFont="1" applyFill="1" applyBorder="1" applyAlignment="1" applyProtection="1">
      <alignment horizontal="center"/>
    </xf>
    <xf numFmtId="3" fontId="2" fillId="7" borderId="75" xfId="21" applyNumberFormat="1" applyFont="1" applyFill="1" applyBorder="1" applyAlignment="1">
      <alignment horizontal="center"/>
    </xf>
    <xf numFmtId="3" fontId="14" fillId="7" borderId="76" xfId="21" applyNumberFormat="1" applyFont="1" applyFill="1" applyBorder="1" applyAlignment="1">
      <alignment horizontal="center"/>
    </xf>
    <xf numFmtId="3" fontId="14" fillId="7" borderId="298" xfId="21" applyNumberFormat="1" applyFont="1" applyFill="1" applyBorder="1" applyAlignment="1">
      <alignment horizontal="center"/>
    </xf>
    <xf numFmtId="3" fontId="14" fillId="7" borderId="78" xfId="21" applyNumberFormat="1" applyFont="1" applyFill="1" applyBorder="1" applyAlignment="1">
      <alignment horizontal="center"/>
    </xf>
    <xf numFmtId="3" fontId="14" fillId="7" borderId="163" xfId="21" applyNumberFormat="1" applyFont="1" applyFill="1" applyBorder="1" applyAlignment="1">
      <alignment horizontal="center"/>
    </xf>
    <xf numFmtId="3" fontId="14" fillId="7" borderId="300" xfId="21" applyNumberFormat="1" applyFont="1" applyFill="1" applyBorder="1" applyAlignment="1">
      <alignment horizontal="center"/>
    </xf>
    <xf numFmtId="0" fontId="0" fillId="7" borderId="42" xfId="0" applyFill="1" applyBorder="1"/>
    <xf numFmtId="0" fontId="0" fillId="7" borderId="31" xfId="0" applyFill="1" applyBorder="1"/>
    <xf numFmtId="0" fontId="0" fillId="7" borderId="53" xfId="0" applyFill="1" applyBorder="1"/>
    <xf numFmtId="0" fontId="0" fillId="7" borderId="0" xfId="0" applyFill="1"/>
    <xf numFmtId="0" fontId="0" fillId="7" borderId="265" xfId="0" applyFill="1" applyBorder="1"/>
    <xf numFmtId="0" fontId="0" fillId="7" borderId="95" xfId="0" applyFill="1" applyBorder="1"/>
    <xf numFmtId="0" fontId="0" fillId="7" borderId="266" xfId="0" applyFill="1" applyBorder="1"/>
    <xf numFmtId="0" fontId="30" fillId="7" borderId="0" xfId="21" applyFont="1" applyFill="1" applyAlignment="1">
      <alignment horizontal="right"/>
    </xf>
    <xf numFmtId="3" fontId="3" fillId="7" borderId="87" xfId="15" applyFont="1" applyFill="1" applyBorder="1" applyAlignment="1" applyProtection="1">
      <alignment horizontal="left"/>
    </xf>
    <xf numFmtId="3" fontId="3" fillId="7" borderId="128" xfId="15" applyFont="1" applyFill="1" applyBorder="1" applyAlignment="1" applyProtection="1">
      <alignment horizontal="left"/>
    </xf>
    <xf numFmtId="3" fontId="16" fillId="7" borderId="197" xfId="15" applyFont="1" applyFill="1" applyBorder="1" applyAlignment="1" applyProtection="1">
      <alignment horizontal="center"/>
    </xf>
    <xf numFmtId="3" fontId="3" fillId="7" borderId="84" xfId="21" applyNumberFormat="1" applyFont="1" applyFill="1" applyBorder="1" applyAlignment="1">
      <alignment horizontal="left"/>
    </xf>
    <xf numFmtId="3" fontId="3" fillId="7" borderId="41" xfId="21" applyNumberFormat="1" applyFont="1" applyFill="1" applyBorder="1" applyAlignment="1">
      <alignment horizontal="left"/>
    </xf>
    <xf numFmtId="3" fontId="3" fillId="7" borderId="33" xfId="21" applyNumberFormat="1" applyFont="1" applyFill="1" applyBorder="1" applyAlignment="1">
      <alignment horizontal="left"/>
    </xf>
    <xf numFmtId="3" fontId="16" fillId="7" borderId="84" xfId="21" applyNumberFormat="1" applyFont="1" applyFill="1" applyBorder="1" applyAlignment="1">
      <alignment horizontal="left"/>
    </xf>
    <xf numFmtId="3" fontId="16" fillId="7" borderId="41" xfId="21" applyNumberFormat="1" applyFont="1" applyFill="1" applyBorder="1" applyAlignment="1">
      <alignment horizontal="left"/>
    </xf>
    <xf numFmtId="3" fontId="16" fillId="7" borderId="33" xfId="21" applyNumberFormat="1" applyFont="1" applyFill="1" applyBorder="1" applyAlignment="1">
      <alignment horizontal="left"/>
    </xf>
    <xf numFmtId="0" fontId="0" fillId="7" borderId="49" xfId="0" applyFill="1" applyBorder="1"/>
    <xf numFmtId="3" fontId="14" fillId="7" borderId="197" xfId="15" applyFont="1" applyFill="1" applyBorder="1" applyAlignment="1" applyProtection="1">
      <alignment horizontal="center"/>
    </xf>
    <xf numFmtId="3" fontId="14" fillId="7" borderId="84" xfId="21" applyNumberFormat="1" applyFont="1" applyFill="1" applyBorder="1" applyAlignment="1">
      <alignment horizontal="left"/>
    </xf>
    <xf numFmtId="3" fontId="14" fillId="7" borderId="41" xfId="21" applyNumberFormat="1" applyFont="1" applyFill="1" applyBorder="1" applyAlignment="1">
      <alignment horizontal="left"/>
    </xf>
    <xf numFmtId="3" fontId="14" fillId="7" borderId="33" xfId="21" applyNumberFormat="1" applyFont="1" applyFill="1" applyBorder="1" applyAlignment="1">
      <alignment horizontal="left"/>
    </xf>
    <xf numFmtId="3" fontId="53" fillId="7" borderId="0" xfId="15" applyFont="1" applyFill="1" applyBorder="1" applyAlignment="1" applyProtection="1">
      <alignment horizontal="left" wrapText="1"/>
    </xf>
    <xf numFmtId="3" fontId="107" fillId="7" borderId="51" xfId="15" applyFont="1" applyFill="1" applyBorder="1" applyAlignment="1" applyProtection="1">
      <alignment horizontal="center"/>
    </xf>
    <xf numFmtId="3" fontId="107" fillId="7" borderId="52" xfId="15" applyFont="1" applyFill="1" applyBorder="1" applyAlignment="1" applyProtection="1">
      <alignment horizontal="center"/>
    </xf>
    <xf numFmtId="3" fontId="107" fillId="7" borderId="50" xfId="15" applyFont="1" applyFill="1" applyBorder="1" applyAlignment="1" applyProtection="1">
      <alignment horizontal="center"/>
    </xf>
    <xf numFmtId="3" fontId="3" fillId="3" borderId="87" xfId="15" applyFont="1" applyFill="1" applyBorder="1" applyAlignment="1" applyProtection="1">
      <alignment horizontal="left"/>
    </xf>
    <xf numFmtId="3" fontId="3" fillId="3" borderId="95" xfId="15" applyFont="1" applyFill="1" applyBorder="1" applyAlignment="1" applyProtection="1">
      <alignment horizontal="left"/>
    </xf>
    <xf numFmtId="3" fontId="3" fillId="3" borderId="128" xfId="15" applyFont="1" applyFill="1" applyBorder="1" applyAlignment="1" applyProtection="1">
      <alignment horizontal="left"/>
    </xf>
    <xf numFmtId="3" fontId="3" fillId="35" borderId="829" xfId="15" applyFont="1" applyFill="1" applyBorder="1" applyAlignment="1" applyProtection="1">
      <alignment horizontal="left"/>
      <protection locked="0"/>
    </xf>
    <xf numFmtId="3" fontId="3" fillId="35" borderId="836" xfId="15" applyFont="1" applyFill="1" applyBorder="1" applyAlignment="1" applyProtection="1">
      <alignment horizontal="left"/>
      <protection locked="0"/>
    </xf>
    <xf numFmtId="3" fontId="3" fillId="35" borderId="823" xfId="15" applyFont="1" applyFill="1" applyBorder="1" applyAlignment="1" applyProtection="1">
      <alignment horizontal="left"/>
      <protection locked="0"/>
    </xf>
    <xf numFmtId="0" fontId="0" fillId="3" borderId="231" xfId="0" applyFill="1" applyBorder="1" applyAlignment="1">
      <alignment horizontal="center"/>
    </xf>
    <xf numFmtId="0" fontId="0" fillId="3" borderId="143" xfId="0" applyFill="1" applyBorder="1" applyAlignment="1">
      <alignment horizontal="center"/>
    </xf>
    <xf numFmtId="3" fontId="0" fillId="0" borderId="226" xfId="15" applyFont="1" applyFill="1" applyBorder="1" applyAlignment="1" applyProtection="1">
      <alignment horizontal="center"/>
    </xf>
    <xf numFmtId="3" fontId="0" fillId="0" borderId="223" xfId="15" applyFont="1" applyFill="1" applyBorder="1" applyAlignment="1" applyProtection="1">
      <alignment horizontal="center"/>
    </xf>
    <xf numFmtId="3" fontId="0" fillId="0" borderId="135" xfId="15" applyFont="1" applyFill="1" applyBorder="1" applyAlignment="1" applyProtection="1">
      <alignment horizontal="center"/>
    </xf>
    <xf numFmtId="3" fontId="0" fillId="33" borderId="87" xfId="11" applyFont="1" applyFill="1" applyBorder="1" applyAlignment="1" applyProtection="1">
      <alignment horizontal="left"/>
      <protection locked="0"/>
    </xf>
    <xf numFmtId="3" fontId="0" fillId="33" borderId="95" xfId="11" applyFont="1" applyFill="1" applyBorder="1" applyAlignment="1" applyProtection="1">
      <alignment horizontal="left"/>
      <protection locked="0"/>
    </xf>
    <xf numFmtId="3" fontId="0" fillId="33" borderId="128" xfId="11" applyFont="1" applyFill="1" applyBorder="1" applyAlignment="1" applyProtection="1">
      <alignment horizontal="left"/>
      <protection locked="0"/>
    </xf>
    <xf numFmtId="3" fontId="3" fillId="11" borderId="87" xfId="11" applyFont="1" applyFill="1" applyBorder="1" applyAlignment="1" applyProtection="1">
      <alignment horizontal="left"/>
    </xf>
    <xf numFmtId="3" fontId="0" fillId="11" borderId="95" xfId="11" applyFont="1" applyFill="1" applyBorder="1" applyAlignment="1" applyProtection="1">
      <alignment horizontal="left"/>
    </xf>
    <xf numFmtId="3" fontId="0" fillId="11" borderId="128" xfId="11" applyFont="1" applyFill="1" applyBorder="1" applyAlignment="1" applyProtection="1">
      <alignment horizontal="left"/>
    </xf>
    <xf numFmtId="3" fontId="3" fillId="11" borderId="78" xfId="11" applyFont="1" applyFill="1" applyBorder="1" applyAlignment="1" applyProtection="1"/>
    <xf numFmtId="3" fontId="62" fillId="11" borderId="163" xfId="11" applyFont="1" applyFill="1" applyBorder="1" applyAlignment="1" applyProtection="1"/>
    <xf numFmtId="3" fontId="62" fillId="11" borderId="129" xfId="11" applyFont="1" applyFill="1" applyBorder="1" applyAlignment="1" applyProtection="1"/>
    <xf numFmtId="3" fontId="3" fillId="33" borderId="87" xfId="11" applyFont="1" applyFill="1" applyBorder="1" applyAlignment="1" applyProtection="1">
      <protection locked="0"/>
    </xf>
    <xf numFmtId="3" fontId="0" fillId="33" borderId="95" xfId="11" applyFont="1" applyFill="1" applyBorder="1" applyAlignment="1" applyProtection="1">
      <protection locked="0"/>
    </xf>
    <xf numFmtId="3" fontId="0" fillId="33" borderId="128" xfId="11" applyFont="1" applyFill="1" applyBorder="1" applyAlignment="1" applyProtection="1">
      <protection locked="0"/>
    </xf>
    <xf numFmtId="3" fontId="0" fillId="33" borderId="87" xfId="11" applyFont="1" applyFill="1" applyBorder="1" applyAlignment="1" applyProtection="1">
      <protection locked="0"/>
    </xf>
    <xf numFmtId="3" fontId="62" fillId="33" borderId="95" xfId="11" applyFont="1" applyFill="1" applyBorder="1" applyAlignment="1" applyProtection="1">
      <protection locked="0"/>
    </xf>
    <xf numFmtId="3" fontId="62" fillId="33" borderId="128" xfId="11" applyFont="1" applyFill="1" applyBorder="1" applyAlignment="1" applyProtection="1">
      <protection locked="0"/>
    </xf>
    <xf numFmtId="3" fontId="0" fillId="33" borderId="87" xfId="15" applyFont="1" applyFill="1" applyBorder="1" applyAlignment="1" applyProtection="1">
      <protection locked="0"/>
    </xf>
    <xf numFmtId="3" fontId="3" fillId="33" borderId="95" xfId="15" applyFont="1" applyFill="1" applyBorder="1" applyAlignment="1" applyProtection="1">
      <protection locked="0"/>
    </xf>
    <xf numFmtId="3" fontId="3" fillId="33" borderId="128" xfId="15" applyFont="1" applyFill="1" applyBorder="1" applyAlignment="1" applyProtection="1">
      <protection locked="0"/>
    </xf>
    <xf numFmtId="3" fontId="0" fillId="35" borderId="87" xfId="15" applyFont="1" applyFill="1" applyBorder="1" applyAlignment="1" applyProtection="1">
      <alignment horizontal="left"/>
      <protection locked="0"/>
    </xf>
    <xf numFmtId="3" fontId="3" fillId="35" borderId="95" xfId="15" applyFont="1" applyFill="1" applyBorder="1" applyAlignment="1" applyProtection="1">
      <alignment horizontal="left"/>
      <protection locked="0"/>
    </xf>
    <xf numFmtId="3" fontId="3" fillId="35" borderId="128" xfId="15" applyFont="1" applyFill="1" applyBorder="1" applyAlignment="1" applyProtection="1">
      <alignment horizontal="left"/>
      <protection locked="0"/>
    </xf>
    <xf numFmtId="3" fontId="3" fillId="35" borderId="87" xfId="15" applyFont="1" applyFill="1" applyBorder="1" applyAlignment="1" applyProtection="1">
      <alignment horizontal="left"/>
      <protection locked="0"/>
    </xf>
    <xf numFmtId="3" fontId="0" fillId="35" borderId="395" xfId="15" applyFont="1" applyFill="1" applyBorder="1" applyAlignment="1" applyProtection="1">
      <alignment horizontal="left"/>
      <protection locked="0"/>
    </xf>
    <xf numFmtId="3" fontId="0" fillId="35" borderId="410" xfId="15" applyFont="1" applyFill="1" applyBorder="1" applyAlignment="1" applyProtection="1">
      <alignment horizontal="left"/>
      <protection locked="0"/>
    </xf>
    <xf numFmtId="3" fontId="62" fillId="33" borderId="87" xfId="11" applyFont="1" applyFill="1" applyBorder="1" applyAlignment="1" applyProtection="1">
      <protection locked="0"/>
    </xf>
    <xf numFmtId="3" fontId="3" fillId="11" borderId="87" xfId="11" applyFont="1" applyFill="1" applyBorder="1" applyAlignment="1" applyProtection="1"/>
    <xf numFmtId="3" fontId="0" fillId="11" borderId="95" xfId="11" applyFont="1" applyFill="1" applyBorder="1" applyAlignment="1" applyProtection="1"/>
    <xf numFmtId="3" fontId="0" fillId="11" borderId="128" xfId="11" applyFont="1" applyFill="1" applyBorder="1" applyAlignment="1" applyProtection="1"/>
    <xf numFmtId="3" fontId="29" fillId="0" borderId="226" xfId="15" applyFont="1" applyFill="1" applyBorder="1" applyAlignment="1" applyProtection="1">
      <alignment horizontal="center"/>
    </xf>
    <xf numFmtId="3" fontId="29" fillId="0" borderId="223" xfId="15" applyFont="1" applyFill="1" applyBorder="1" applyAlignment="1" applyProtection="1">
      <alignment horizontal="center"/>
    </xf>
    <xf numFmtId="3" fontId="29" fillId="0" borderId="135" xfId="15" applyFont="1" applyFill="1" applyBorder="1" applyAlignment="1" applyProtection="1">
      <alignment horizontal="center"/>
    </xf>
    <xf numFmtId="3" fontId="0" fillId="11" borderId="167" xfId="15" applyFont="1" applyFill="1" applyBorder="1" applyAlignment="1" applyProtection="1">
      <alignment horizontal="center"/>
    </xf>
    <xf numFmtId="3" fontId="0" fillId="11" borderId="177" xfId="15" applyFont="1" applyFill="1" applyBorder="1" applyAlignment="1" applyProtection="1">
      <alignment horizontal="center"/>
    </xf>
    <xf numFmtId="3" fontId="0" fillId="11" borderId="248" xfId="15" applyFont="1" applyFill="1" applyBorder="1" applyAlignment="1" applyProtection="1">
      <alignment horizontal="center"/>
    </xf>
    <xf numFmtId="0" fontId="0" fillId="33" borderId="95" xfId="0" applyFill="1" applyBorder="1" applyProtection="1">
      <protection locked="0"/>
    </xf>
    <xf numFmtId="0" fontId="0" fillId="33" borderId="88" xfId="0" applyFill="1" applyBorder="1" applyProtection="1">
      <protection locked="0"/>
    </xf>
    <xf numFmtId="3" fontId="0" fillId="33" borderId="75" xfId="11" applyFont="1" applyFill="1" applyBorder="1" applyAlignment="1" applyProtection="1">
      <protection locked="0"/>
    </xf>
    <xf numFmtId="0" fontId="0" fillId="33" borderId="76" xfId="0" applyFill="1" applyBorder="1" applyProtection="1">
      <protection locked="0"/>
    </xf>
    <xf numFmtId="0" fontId="0" fillId="33" borderId="77" xfId="0" applyFill="1" applyBorder="1" applyProtection="1">
      <protection locked="0"/>
    </xf>
    <xf numFmtId="0" fontId="0" fillId="0" borderId="0" xfId="0"/>
    <xf numFmtId="3" fontId="22" fillId="0" borderId="615" xfId="15" applyFont="1" applyFill="1" applyBorder="1" applyAlignment="1" applyProtection="1">
      <alignment horizontal="center"/>
    </xf>
    <xf numFmtId="0" fontId="116" fillId="0" borderId="613" xfId="0" applyFont="1" applyBorder="1" applyAlignment="1">
      <alignment horizontal="center"/>
    </xf>
    <xf numFmtId="0" fontId="116" fillId="0" borderId="711" xfId="0" applyFont="1" applyBorder="1" applyAlignment="1">
      <alignment horizontal="center"/>
    </xf>
    <xf numFmtId="3" fontId="22" fillId="0" borderId="226" xfId="15" applyFont="1" applyFill="1" applyBorder="1" applyAlignment="1" applyProtection="1">
      <alignment horizontal="center"/>
    </xf>
    <xf numFmtId="0" fontId="116" fillId="0" borderId="223" xfId="0" applyFont="1" applyBorder="1" applyAlignment="1">
      <alignment horizontal="center"/>
    </xf>
    <xf numFmtId="0" fontId="116" fillId="0" borderId="135" xfId="0" applyFont="1" applyBorder="1" applyAlignment="1">
      <alignment horizontal="center"/>
    </xf>
    <xf numFmtId="3" fontId="22" fillId="0" borderId="217" xfId="15" applyFont="1" applyFill="1" applyBorder="1" applyAlignment="1" applyProtection="1">
      <alignment horizontal="center"/>
    </xf>
    <xf numFmtId="0" fontId="116" fillId="0" borderId="0" xfId="0" applyFont="1" applyAlignment="1">
      <alignment horizontal="center"/>
    </xf>
    <xf numFmtId="0" fontId="116" fillId="0" borderId="177" xfId="0" applyFont="1" applyBorder="1" applyAlignment="1">
      <alignment horizontal="center"/>
    </xf>
    <xf numFmtId="3" fontId="73" fillId="18" borderId="247" xfId="15" applyFont="1" applyFill="1" applyBorder="1" applyAlignment="1" applyProtection="1">
      <alignment horizontal="left"/>
    </xf>
    <xf numFmtId="3" fontId="73" fillId="18" borderId="331" xfId="15" applyFont="1" applyFill="1" applyBorder="1" applyAlignment="1" applyProtection="1">
      <alignment horizontal="left"/>
    </xf>
    <xf numFmtId="3" fontId="22" fillId="0" borderId="165" xfId="15" applyFont="1" applyFill="1" applyBorder="1" applyAlignment="1" applyProtection="1">
      <alignment horizontal="center"/>
    </xf>
    <xf numFmtId="0" fontId="116" fillId="0" borderId="231" xfId="0" applyFont="1" applyBorder="1" applyAlignment="1">
      <alignment horizontal="center"/>
    </xf>
    <xf numFmtId="0" fontId="116" fillId="0" borderId="167" xfId="0" applyFont="1" applyBorder="1" applyAlignment="1">
      <alignment horizontal="center"/>
    </xf>
    <xf numFmtId="3" fontId="53" fillId="0" borderId="713" xfId="15" applyFont="1" applyFill="1" applyBorder="1" applyAlignment="1" applyProtection="1">
      <alignment horizontal="left"/>
    </xf>
    <xf numFmtId="3" fontId="53" fillId="0" borderId="714" xfId="15" applyFont="1" applyFill="1" applyBorder="1" applyAlignment="1" applyProtection="1">
      <alignment horizontal="left"/>
    </xf>
    <xf numFmtId="0" fontId="116" fillId="0" borderId="757" xfId="0" applyFont="1" applyBorder="1" applyAlignment="1">
      <alignment horizontal="center"/>
    </xf>
    <xf numFmtId="0" fontId="100" fillId="7" borderId="570" xfId="45" applyFont="1" applyFill="1" applyBorder="1" applyAlignment="1">
      <alignment horizontal="left" wrapText="1"/>
    </xf>
    <xf numFmtId="0" fontId="100" fillId="7" borderId="571" xfId="45" applyFont="1" applyFill="1" applyBorder="1" applyAlignment="1">
      <alignment horizontal="left" wrapText="1"/>
    </xf>
    <xf numFmtId="0" fontId="100" fillId="7" borderId="570" xfId="45" applyFont="1" applyFill="1" applyBorder="1" applyAlignment="1">
      <alignment horizontal="left"/>
    </xf>
    <xf numFmtId="0" fontId="100" fillId="7" borderId="571" xfId="45" applyFont="1" applyFill="1" applyBorder="1" applyAlignment="1">
      <alignment horizontal="left"/>
    </xf>
    <xf numFmtId="0" fontId="100" fillId="7" borderId="441" xfId="45" applyFont="1" applyFill="1" applyBorder="1" applyAlignment="1">
      <alignment horizontal="left"/>
    </xf>
    <xf numFmtId="0" fontId="100" fillId="7" borderId="399" xfId="45" applyFont="1" applyFill="1" applyBorder="1" applyAlignment="1">
      <alignment horizontal="left"/>
    </xf>
    <xf numFmtId="0" fontId="100" fillId="7" borderId="441" xfId="45" applyFont="1" applyFill="1" applyBorder="1" applyAlignment="1">
      <alignment horizontal="left" wrapText="1"/>
    </xf>
    <xf numFmtId="0" fontId="100" fillId="7" borderId="399" xfId="45" applyFont="1" applyFill="1" applyBorder="1" applyAlignment="1">
      <alignment horizontal="left" wrapText="1"/>
    </xf>
    <xf numFmtId="0" fontId="102" fillId="7" borderId="398" xfId="0" applyFont="1" applyFill="1" applyBorder="1" applyAlignment="1">
      <alignment horizontal="left" wrapText="1"/>
    </xf>
    <xf numFmtId="0" fontId="102" fillId="0" borderId="399" xfId="0" applyFont="1" applyBorder="1" applyAlignment="1">
      <alignment wrapText="1"/>
    </xf>
    <xf numFmtId="0" fontId="114" fillId="27" borderId="314" xfId="21" applyFont="1" applyFill="1" applyBorder="1" applyAlignment="1">
      <alignment horizontal="left" wrapText="1"/>
    </xf>
    <xf numFmtId="0" fontId="114" fillId="27" borderId="110" xfId="21" applyFont="1" applyFill="1" applyBorder="1" applyAlignment="1">
      <alignment horizontal="left" wrapText="1"/>
    </xf>
    <xf numFmtId="0" fontId="114" fillId="27" borderId="504" xfId="21" applyFont="1" applyFill="1" applyBorder="1" applyAlignment="1">
      <alignment horizontal="left" wrapText="1"/>
    </xf>
    <xf numFmtId="0" fontId="114" fillId="27" borderId="496" xfId="21" applyFont="1" applyFill="1" applyBorder="1" applyAlignment="1">
      <alignment horizontal="left" wrapText="1"/>
    </xf>
    <xf numFmtId="0" fontId="114" fillId="27" borderId="785" xfId="21" applyFont="1" applyFill="1" applyBorder="1" applyAlignment="1">
      <alignment horizontal="left" wrapText="1"/>
    </xf>
    <xf numFmtId="0" fontId="114" fillId="27" borderId="810" xfId="21" applyFont="1" applyFill="1" applyBorder="1" applyAlignment="1">
      <alignment horizontal="left" wrapText="1"/>
    </xf>
    <xf numFmtId="0" fontId="114" fillId="27" borderId="570" xfId="21" applyFont="1" applyFill="1" applyBorder="1" applyAlignment="1">
      <alignment horizontal="left" wrapText="1"/>
    </xf>
    <xf numFmtId="0" fontId="114" fillId="27" borderId="571" xfId="21" applyFont="1" applyFill="1" applyBorder="1" applyAlignment="1">
      <alignment horizontal="left" wrapText="1"/>
    </xf>
    <xf numFmtId="0" fontId="100" fillId="7" borderId="809" xfId="45" applyFont="1" applyFill="1" applyBorder="1" applyAlignment="1">
      <alignment horizontal="left" wrapText="1"/>
    </xf>
    <xf numFmtId="0" fontId="100" fillId="7" borderId="810" xfId="45" applyFont="1" applyFill="1" applyBorder="1" applyAlignment="1">
      <alignment horizontal="left" wrapText="1"/>
    </xf>
    <xf numFmtId="0" fontId="100" fillId="7" borderId="785" xfId="45" applyFont="1" applyFill="1" applyBorder="1" applyAlignment="1">
      <alignment horizontal="left"/>
    </xf>
    <xf numFmtId="0" fontId="100" fillId="7" borderId="810" xfId="45" applyFont="1" applyFill="1" applyBorder="1" applyAlignment="1">
      <alignment horizontal="left"/>
    </xf>
    <xf numFmtId="0" fontId="78" fillId="65" borderId="573" xfId="45" applyFill="1" applyBorder="1" applyAlignment="1">
      <alignment horizontal="left"/>
    </xf>
    <xf numFmtId="0" fontId="78" fillId="65" borderId="571" xfId="45" applyFill="1" applyBorder="1" applyAlignment="1">
      <alignment horizontal="left"/>
    </xf>
    <xf numFmtId="0" fontId="78" fillId="65" borderId="451" xfId="45" applyFill="1" applyBorder="1" applyAlignment="1">
      <alignment horizontal="left"/>
    </xf>
    <xf numFmtId="0" fontId="78" fillId="65" borderId="452" xfId="45" applyFill="1" applyBorder="1" applyAlignment="1">
      <alignment horizontal="left"/>
    </xf>
    <xf numFmtId="0" fontId="100" fillId="0" borderId="0" xfId="45" applyFont="1" applyAlignment="1">
      <alignment horizontal="center"/>
    </xf>
    <xf numFmtId="0" fontId="114" fillId="0" borderId="0" xfId="21" applyFont="1" applyAlignment="1">
      <alignment horizontal="center"/>
    </xf>
    <xf numFmtId="0" fontId="100" fillId="7" borderId="464" xfId="45" applyFont="1" applyFill="1" applyBorder="1" applyAlignment="1">
      <alignment horizontal="left"/>
    </xf>
    <xf numFmtId="0" fontId="100" fillId="7" borderId="460" xfId="45" applyFont="1" applyFill="1" applyBorder="1" applyAlignment="1">
      <alignment horizontal="left"/>
    </xf>
    <xf numFmtId="0" fontId="155" fillId="9" borderId="246" xfId="21" applyFont="1" applyFill="1" applyBorder="1" applyAlignment="1">
      <alignment horizontal="left"/>
    </xf>
    <xf numFmtId="0" fontId="155" fillId="9" borderId="247" xfId="21" applyFont="1" applyFill="1" applyBorder="1" applyAlignment="1">
      <alignment horizontal="left"/>
    </xf>
    <xf numFmtId="0" fontId="155" fillId="9" borderId="217" xfId="21" applyFont="1" applyFill="1" applyBorder="1" applyAlignment="1">
      <alignment horizontal="left"/>
    </xf>
    <xf numFmtId="0" fontId="155" fillId="9" borderId="111" xfId="21" applyFont="1" applyFill="1" applyBorder="1" applyAlignment="1">
      <alignment horizontal="left"/>
    </xf>
    <xf numFmtId="0" fontId="114" fillId="27" borderId="442" xfId="21" applyFont="1" applyFill="1" applyBorder="1" applyAlignment="1">
      <alignment horizontal="left" wrapText="1"/>
    </xf>
    <xf numFmtId="0" fontId="114" fillId="27" borderId="129" xfId="21" applyFont="1" applyFill="1" applyBorder="1" applyAlignment="1">
      <alignment horizontal="left" wrapText="1"/>
    </xf>
    <xf numFmtId="0" fontId="114" fillId="27" borderId="441" xfId="21" applyFont="1" applyFill="1" applyBorder="1" applyAlignment="1">
      <alignment horizontal="left" wrapText="1"/>
    </xf>
    <xf numFmtId="0" fontId="114" fillId="27" borderId="399" xfId="21" applyFont="1" applyFill="1" applyBorder="1" applyAlignment="1">
      <alignment horizontal="left" wrapText="1"/>
    </xf>
    <xf numFmtId="0" fontId="114" fillId="27" borderId="464" xfId="21" applyFont="1" applyFill="1" applyBorder="1" applyAlignment="1">
      <alignment horizontal="left" wrapText="1"/>
    </xf>
    <xf numFmtId="0" fontId="114" fillId="27" borderId="460" xfId="21" applyFont="1" applyFill="1" applyBorder="1" applyAlignment="1">
      <alignment horizontal="left" wrapText="1"/>
    </xf>
    <xf numFmtId="0" fontId="114" fillId="27" borderId="442" xfId="21" applyFont="1" applyFill="1" applyBorder="1" applyAlignment="1">
      <alignment horizontal="left"/>
    </xf>
    <xf numFmtId="0" fontId="114" fillId="27" borderId="129" xfId="21" applyFont="1" applyFill="1" applyBorder="1" applyAlignment="1">
      <alignment horizontal="left"/>
    </xf>
    <xf numFmtId="0" fontId="88" fillId="7" borderId="431" xfId="45" applyFont="1" applyFill="1" applyBorder="1" applyAlignment="1">
      <alignment horizontal="left" wrapText="1"/>
    </xf>
    <xf numFmtId="0" fontId="88" fillId="7" borderId="432" xfId="45" applyFont="1" applyFill="1" applyBorder="1" applyAlignment="1">
      <alignment horizontal="left" wrapText="1"/>
    </xf>
    <xf numFmtId="0" fontId="160" fillId="7" borderId="398" xfId="45" applyFont="1" applyFill="1" applyBorder="1" applyAlignment="1">
      <alignment horizontal="left"/>
    </xf>
    <xf numFmtId="0" fontId="160" fillId="7" borderId="434" xfId="45" applyFont="1" applyFill="1" applyBorder="1" applyAlignment="1">
      <alignment horizontal="left"/>
    </xf>
    <xf numFmtId="0" fontId="160" fillId="7" borderId="492" xfId="45" applyFont="1" applyFill="1" applyBorder="1" applyAlignment="1">
      <alignment horizontal="left"/>
    </xf>
    <xf numFmtId="0" fontId="160" fillId="7" borderId="525" xfId="45" applyFont="1" applyFill="1" applyBorder="1" applyAlignment="1">
      <alignment horizontal="left"/>
    </xf>
    <xf numFmtId="0" fontId="160" fillId="7" borderId="399" xfId="45" applyFont="1" applyFill="1" applyBorder="1" applyAlignment="1">
      <alignment horizontal="left"/>
    </xf>
    <xf numFmtId="0" fontId="154" fillId="7" borderId="441" xfId="45" applyFont="1" applyFill="1" applyBorder="1" applyAlignment="1">
      <alignment horizontal="left"/>
    </xf>
    <xf numFmtId="0" fontId="154" fillId="7" borderId="399" xfId="45" applyFont="1" applyFill="1" applyBorder="1" applyAlignment="1">
      <alignment horizontal="left"/>
    </xf>
    <xf numFmtId="0" fontId="157" fillId="30" borderId="436" xfId="45" applyFont="1" applyFill="1" applyBorder="1" applyAlignment="1">
      <alignment horizontal="center" vertical="center" textRotation="90"/>
    </xf>
    <xf numFmtId="0" fontId="157" fillId="30" borderId="411" xfId="45" applyFont="1" applyFill="1" applyBorder="1" applyAlignment="1">
      <alignment horizontal="center" vertical="center" textRotation="90"/>
    </xf>
    <xf numFmtId="3" fontId="100" fillId="7" borderId="217" xfId="0" applyNumberFormat="1" applyFont="1" applyFill="1" applyBorder="1" applyAlignment="1">
      <alignment horizontal="left"/>
    </xf>
    <xf numFmtId="3" fontId="100" fillId="7" borderId="111" xfId="0" applyNumberFormat="1" applyFont="1" applyFill="1" applyBorder="1" applyAlignment="1">
      <alignment horizontal="left"/>
    </xf>
    <xf numFmtId="0" fontId="160" fillId="7" borderId="398" xfId="45" applyFont="1" applyFill="1" applyBorder="1" applyAlignment="1">
      <alignment horizontal="left" wrapText="1"/>
    </xf>
    <xf numFmtId="0" fontId="160" fillId="7" borderId="434" xfId="45" applyFont="1" applyFill="1" applyBorder="1" applyAlignment="1">
      <alignment horizontal="left" wrapText="1"/>
    </xf>
    <xf numFmtId="0" fontId="160" fillId="7" borderId="525" xfId="45" applyFont="1" applyFill="1" applyBorder="1" applyAlignment="1">
      <alignment horizontal="left" wrapText="1"/>
    </xf>
    <xf numFmtId="0" fontId="160" fillId="7" borderId="399" xfId="45" applyFont="1" applyFill="1" applyBorder="1" applyAlignment="1">
      <alignment horizontal="left" wrapText="1"/>
    </xf>
    <xf numFmtId="0" fontId="157" fillId="7" borderId="436" xfId="45" applyFont="1" applyFill="1" applyBorder="1" applyAlignment="1">
      <alignment horizontal="center" vertical="center" textRotation="90"/>
    </xf>
    <xf numFmtId="0" fontId="157" fillId="7" borderId="411" xfId="45" applyFont="1" applyFill="1" applyBorder="1" applyAlignment="1">
      <alignment horizontal="center" vertical="center" textRotation="90"/>
    </xf>
    <xf numFmtId="0" fontId="100" fillId="7" borderId="379" xfId="45" applyFont="1" applyFill="1" applyBorder="1" applyAlignment="1">
      <alignment horizontal="left" wrapText="1"/>
    </xf>
    <xf numFmtId="0" fontId="100" fillId="7" borderId="438" xfId="45" applyFont="1" applyFill="1" applyBorder="1" applyAlignment="1">
      <alignment horizontal="left" wrapText="1"/>
    </xf>
    <xf numFmtId="0" fontId="157" fillId="14" borderId="444" xfId="45" applyFont="1" applyFill="1" applyBorder="1" applyAlignment="1">
      <alignment horizontal="center" vertical="center" textRotation="90" wrapText="1"/>
    </xf>
    <xf numFmtId="0" fontId="157" fillId="14" borderId="411" xfId="45" applyFont="1" applyFill="1" applyBorder="1" applyAlignment="1">
      <alignment horizontal="center" vertical="center" textRotation="90" wrapText="1"/>
    </xf>
    <xf numFmtId="0" fontId="78" fillId="42" borderId="451" xfId="45" applyFill="1" applyBorder="1" applyAlignment="1">
      <alignment horizontal="left"/>
    </xf>
    <xf numFmtId="0" fontId="78" fillId="42" borderId="452" xfId="45" applyFill="1" applyBorder="1" applyAlignment="1">
      <alignment horizontal="left"/>
    </xf>
    <xf numFmtId="0" fontId="100" fillId="7" borderId="684" xfId="45" applyFont="1" applyFill="1" applyBorder="1" applyAlignment="1">
      <alignment horizontal="left" wrapText="1"/>
    </xf>
    <xf numFmtId="0" fontId="100" fillId="7" borderId="684" xfId="45" applyFont="1" applyFill="1" applyBorder="1" applyAlignment="1">
      <alignment horizontal="left"/>
    </xf>
    <xf numFmtId="0" fontId="78" fillId="71" borderId="451" xfId="45" applyFill="1" applyBorder="1" applyAlignment="1">
      <alignment horizontal="left"/>
    </xf>
    <xf numFmtId="0" fontId="78" fillId="71" borderId="452" xfId="45" applyFill="1" applyBorder="1" applyAlignment="1">
      <alignment horizontal="left"/>
    </xf>
    <xf numFmtId="0" fontId="78" fillId="41" borderId="451" xfId="45" applyFill="1" applyBorder="1" applyAlignment="1">
      <alignment horizontal="left"/>
    </xf>
    <xf numFmtId="0" fontId="78" fillId="41" borderId="452" xfId="45" applyFill="1" applyBorder="1" applyAlignment="1">
      <alignment horizontal="left"/>
    </xf>
    <xf numFmtId="0" fontId="78" fillId="64" borderId="451" xfId="45" applyFill="1" applyBorder="1" applyAlignment="1">
      <alignment horizontal="left"/>
    </xf>
    <xf numFmtId="0" fontId="78" fillId="64" borderId="452" xfId="45" applyFill="1" applyBorder="1" applyAlignment="1">
      <alignment horizontal="left"/>
    </xf>
    <xf numFmtId="0" fontId="78" fillId="69" borderId="451" xfId="45" applyFill="1" applyBorder="1" applyAlignment="1">
      <alignment horizontal="left"/>
    </xf>
    <xf numFmtId="0" fontId="78" fillId="69" borderId="452" xfId="45" applyFill="1" applyBorder="1" applyAlignment="1">
      <alignment horizontal="left"/>
    </xf>
    <xf numFmtId="0" fontId="78" fillId="75" borderId="451" xfId="45" applyFill="1" applyBorder="1" applyAlignment="1">
      <alignment horizontal="left"/>
    </xf>
    <xf numFmtId="0" fontId="78" fillId="75" borderId="452" xfId="45" applyFill="1" applyBorder="1" applyAlignment="1">
      <alignment horizontal="left"/>
    </xf>
    <xf numFmtId="0" fontId="124" fillId="7" borderId="466" xfId="45" applyFont="1" applyFill="1" applyBorder="1" applyAlignment="1">
      <alignment horizontal="center"/>
    </xf>
    <xf numFmtId="0" fontId="124" fillId="7" borderId="223" xfId="45" applyFont="1" applyFill="1" applyBorder="1" applyAlignment="1">
      <alignment horizontal="center"/>
    </xf>
    <xf numFmtId="0" fontId="4" fillId="7" borderId="457" xfId="0" applyFont="1" applyFill="1" applyBorder="1" applyAlignment="1">
      <alignment horizontal="center" wrapText="1"/>
    </xf>
    <xf numFmtId="0" fontId="4" fillId="7" borderId="458" xfId="0" applyFont="1" applyFill="1" applyBorder="1" applyAlignment="1">
      <alignment horizontal="center" wrapText="1"/>
    </xf>
    <xf numFmtId="0" fontId="114" fillId="7" borderId="684" xfId="45" applyFont="1" applyFill="1" applyBorder="1" applyAlignment="1">
      <alignment horizontal="left"/>
    </xf>
    <xf numFmtId="0" fontId="100" fillId="7" borderId="829" xfId="45" applyFont="1" applyFill="1" applyBorder="1" applyAlignment="1">
      <alignment horizontal="left"/>
    </xf>
    <xf numFmtId="0" fontId="124" fillId="7" borderId="226" xfId="45" applyFont="1" applyFill="1" applyBorder="1" applyAlignment="1">
      <alignment horizontal="center"/>
    </xf>
    <xf numFmtId="0" fontId="85" fillId="11" borderId="165" xfId="45" applyFont="1" applyFill="1" applyBorder="1" applyAlignment="1">
      <alignment horizontal="center" vertical="center" wrapText="1"/>
    </xf>
    <xf numFmtId="0" fontId="0" fillId="11" borderId="167" xfId="0" applyFill="1" applyBorder="1" applyAlignment="1">
      <alignment horizontal="center" wrapText="1"/>
    </xf>
    <xf numFmtId="0" fontId="0" fillId="11" borderId="217" xfId="0" applyFill="1" applyBorder="1" applyAlignment="1">
      <alignment horizontal="center" wrapText="1"/>
    </xf>
    <xf numFmtId="0" fontId="0" fillId="11" borderId="177" xfId="0" applyFill="1" applyBorder="1" applyAlignment="1">
      <alignment horizontal="center" wrapText="1"/>
    </xf>
    <xf numFmtId="0" fontId="114" fillId="7" borderId="684" xfId="45" applyFont="1" applyFill="1" applyBorder="1" applyAlignment="1">
      <alignment horizontal="left" wrapText="1"/>
    </xf>
    <xf numFmtId="0" fontId="122" fillId="7" borderId="0" xfId="45" applyFont="1" applyFill="1"/>
    <xf numFmtId="0" fontId="123" fillId="30" borderId="226" xfId="45" applyFont="1" applyFill="1" applyBorder="1" applyAlignment="1">
      <alignment horizontal="center"/>
    </xf>
    <xf numFmtId="0" fontId="118" fillId="30" borderId="223" xfId="0" applyFont="1" applyFill="1" applyBorder="1" applyAlignment="1">
      <alignment horizontal="center"/>
    </xf>
    <xf numFmtId="0" fontId="118" fillId="30" borderId="135" xfId="0" applyFont="1" applyFill="1" applyBorder="1" applyAlignment="1">
      <alignment horizontal="center"/>
    </xf>
    <xf numFmtId="0" fontId="123" fillId="11" borderId="226" xfId="45" applyFont="1" applyFill="1" applyBorder="1" applyAlignment="1">
      <alignment horizontal="center"/>
    </xf>
    <xf numFmtId="0" fontId="123" fillId="11" borderId="466" xfId="45" applyFont="1" applyFill="1" applyBorder="1" applyAlignment="1">
      <alignment horizontal="center"/>
    </xf>
    <xf numFmtId="0" fontId="118" fillId="11" borderId="223" xfId="0" applyFont="1" applyFill="1" applyBorder="1" applyAlignment="1">
      <alignment horizontal="center"/>
    </xf>
    <xf numFmtId="0" fontId="118" fillId="11" borderId="466" xfId="0" applyFont="1" applyFill="1" applyBorder="1" applyAlignment="1">
      <alignment horizontal="center"/>
    </xf>
    <xf numFmtId="0" fontId="118" fillId="11" borderId="465" xfId="0" applyFont="1" applyFill="1" applyBorder="1" applyAlignment="1">
      <alignment horizontal="center"/>
    </xf>
    <xf numFmtId="0" fontId="118" fillId="11" borderId="545" xfId="0" applyFont="1" applyFill="1" applyBorder="1" applyAlignment="1">
      <alignment horizontal="center"/>
    </xf>
    <xf numFmtId="0" fontId="118" fillId="11" borderId="135" xfId="0" applyFont="1" applyFill="1" applyBorder="1" applyAlignment="1">
      <alignment horizontal="center"/>
    </xf>
    <xf numFmtId="0" fontId="124" fillId="7" borderId="231" xfId="45" applyFont="1" applyFill="1" applyBorder="1" applyAlignment="1">
      <alignment horizontal="center"/>
    </xf>
    <xf numFmtId="0" fontId="4" fillId="7" borderId="247" xfId="0" applyFont="1" applyFill="1" applyBorder="1" applyAlignment="1">
      <alignment horizontal="center"/>
    </xf>
    <xf numFmtId="0" fontId="4" fillId="7" borderId="248" xfId="0" applyFont="1" applyFill="1" applyBorder="1" applyAlignment="1">
      <alignment horizontal="center"/>
    </xf>
    <xf numFmtId="0" fontId="124" fillId="7" borderId="143" xfId="45" applyFont="1" applyFill="1" applyBorder="1" applyAlignment="1">
      <alignment horizontal="center"/>
    </xf>
    <xf numFmtId="0" fontId="123" fillId="7" borderId="226" xfId="45" applyFont="1" applyFill="1" applyBorder="1" applyAlignment="1">
      <alignment horizontal="center" vertical="center" wrapText="1"/>
    </xf>
    <xf numFmtId="0" fontId="123" fillId="7" borderId="223" xfId="45" applyFont="1" applyFill="1" applyBorder="1" applyAlignment="1">
      <alignment horizontal="center" vertical="center" wrapText="1"/>
    </xf>
    <xf numFmtId="0" fontId="123" fillId="7" borderId="466" xfId="45" applyFont="1" applyFill="1" applyBorder="1" applyAlignment="1">
      <alignment horizontal="center" vertical="center" wrapText="1"/>
    </xf>
    <xf numFmtId="0" fontId="123" fillId="7" borderId="135" xfId="45" applyFont="1" applyFill="1" applyBorder="1" applyAlignment="1">
      <alignment horizontal="center" vertical="center" wrapText="1"/>
    </xf>
    <xf numFmtId="0" fontId="153" fillId="7" borderId="226" xfId="45" applyFont="1" applyFill="1" applyBorder="1" applyAlignment="1">
      <alignment horizontal="center" vertical="center" wrapText="1"/>
    </xf>
    <xf numFmtId="0" fontId="152" fillId="7" borderId="223" xfId="45" applyFont="1" applyFill="1" applyBorder="1" applyAlignment="1">
      <alignment horizontal="center" vertical="center" wrapText="1"/>
    </xf>
    <xf numFmtId="0" fontId="152" fillId="7" borderId="135" xfId="45" applyFont="1" applyFill="1" applyBorder="1" applyAlignment="1">
      <alignment horizontal="center" vertical="center" wrapText="1"/>
    </xf>
    <xf numFmtId="0" fontId="123" fillId="7" borderId="226" xfId="45" applyFont="1" applyFill="1" applyBorder="1" applyAlignment="1">
      <alignment horizontal="center" wrapText="1"/>
    </xf>
    <xf numFmtId="0" fontId="118" fillId="7" borderId="223" xfId="0" applyFont="1" applyFill="1" applyBorder="1" applyAlignment="1">
      <alignment horizontal="center" wrapText="1"/>
    </xf>
    <xf numFmtId="0" fontId="118" fillId="7" borderId="135" xfId="0" applyFont="1" applyFill="1" applyBorder="1" applyAlignment="1">
      <alignment horizontal="center" wrapText="1"/>
    </xf>
    <xf numFmtId="0" fontId="123" fillId="7" borderId="466" xfId="45" applyFont="1" applyFill="1" applyBorder="1" applyAlignment="1">
      <alignment horizontal="center" wrapText="1"/>
    </xf>
    <xf numFmtId="0" fontId="118" fillId="7" borderId="466" xfId="0" applyFont="1" applyFill="1" applyBorder="1" applyAlignment="1">
      <alignment horizontal="center" wrapText="1"/>
    </xf>
    <xf numFmtId="0" fontId="118" fillId="7" borderId="465" xfId="0" applyFont="1" applyFill="1" applyBorder="1" applyAlignment="1">
      <alignment horizontal="center" wrapText="1"/>
    </xf>
    <xf numFmtId="0" fontId="118" fillId="7" borderId="545" xfId="0" applyFont="1" applyFill="1" applyBorder="1" applyAlignment="1">
      <alignment horizontal="center" wrapText="1"/>
    </xf>
    <xf numFmtId="0" fontId="123" fillId="11" borderId="615" xfId="45" applyFont="1" applyFill="1" applyBorder="1" applyAlignment="1">
      <alignment horizontal="center"/>
    </xf>
    <xf numFmtId="0" fontId="123" fillId="11" borderId="613" xfId="45" applyFont="1" applyFill="1" applyBorder="1" applyAlignment="1">
      <alignment horizontal="center"/>
    </xf>
    <xf numFmtId="0" fontId="123" fillId="11" borderId="711" xfId="45" applyFont="1" applyFill="1" applyBorder="1" applyAlignment="1">
      <alignment horizontal="center"/>
    </xf>
    <xf numFmtId="4" fontId="87" fillId="0" borderId="142" xfId="46" applyNumberFormat="1" applyFont="1" applyFill="1" applyBorder="1" applyAlignment="1">
      <alignment horizontal="left"/>
    </xf>
    <xf numFmtId="0" fontId="30" fillId="7" borderId="457" xfId="0" applyFont="1" applyFill="1" applyBorder="1" applyAlignment="1">
      <alignment horizontal="center" wrapText="1"/>
    </xf>
    <xf numFmtId="0" fontId="30" fillId="7" borderId="458" xfId="0" applyFont="1" applyFill="1" applyBorder="1" applyAlignment="1">
      <alignment horizontal="center" wrapText="1"/>
    </xf>
    <xf numFmtId="0" fontId="124" fillId="7" borderId="466" xfId="45" applyFont="1" applyFill="1" applyBorder="1" applyAlignment="1">
      <alignment horizontal="center" wrapText="1"/>
    </xf>
    <xf numFmtId="0" fontId="124" fillId="7" borderId="223" xfId="45" applyFont="1" applyFill="1" applyBorder="1" applyAlignment="1">
      <alignment horizontal="center" wrapText="1"/>
    </xf>
    <xf numFmtId="0" fontId="155" fillId="10" borderId="0" xfId="45" applyFont="1" applyFill="1" applyAlignment="1">
      <alignment horizontal="left"/>
    </xf>
    <xf numFmtId="0" fontId="155" fillId="10" borderId="378" xfId="45" applyFont="1" applyFill="1" applyBorder="1" applyAlignment="1">
      <alignment horizontal="left"/>
    </xf>
    <xf numFmtId="0" fontId="100" fillId="30" borderId="392" xfId="45" applyFont="1" applyFill="1" applyBorder="1" applyAlignment="1">
      <alignment horizontal="left" wrapText="1"/>
    </xf>
    <xf numFmtId="0" fontId="100" fillId="7" borderId="812" xfId="45" applyFont="1" applyFill="1" applyBorder="1" applyAlignment="1">
      <alignment horizontal="left"/>
    </xf>
    <xf numFmtId="0" fontId="155" fillId="10" borderId="445" xfId="45" applyFont="1" applyFill="1" applyBorder="1" applyAlignment="1">
      <alignment horizontal="left"/>
    </xf>
    <xf numFmtId="0" fontId="114" fillId="27" borderId="684" xfId="21" applyFont="1" applyFill="1" applyBorder="1" applyAlignment="1">
      <alignment horizontal="left" wrapText="1"/>
    </xf>
    <xf numFmtId="0" fontId="157" fillId="7" borderId="444" xfId="45" applyFont="1" applyFill="1" applyBorder="1" applyAlignment="1">
      <alignment horizontal="center" vertical="center" textRotation="90"/>
    </xf>
    <xf numFmtId="0" fontId="100" fillId="10" borderId="0" xfId="45" applyFont="1" applyFill="1" applyAlignment="1">
      <alignment horizontal="left"/>
    </xf>
    <xf numFmtId="0" fontId="160" fillId="7" borderId="78" xfId="45" applyFont="1" applyFill="1" applyBorder="1" applyAlignment="1">
      <alignment horizontal="left" wrapText="1"/>
    </xf>
    <xf numFmtId="0" fontId="160" fillId="7" borderId="163" xfId="45" applyFont="1" applyFill="1" applyBorder="1" applyAlignment="1">
      <alignment horizontal="left" wrapText="1"/>
    </xf>
    <xf numFmtId="0" fontId="102" fillId="7" borderId="729" xfId="0" applyFont="1" applyFill="1" applyBorder="1" applyAlignment="1">
      <alignment horizontal="left" wrapText="1"/>
    </xf>
    <xf numFmtId="0" fontId="100" fillId="0" borderId="832" xfId="0" applyFont="1" applyBorder="1" applyAlignment="1">
      <alignment wrapText="1"/>
    </xf>
    <xf numFmtId="0" fontId="157" fillId="30" borderId="392" xfId="45" applyFont="1" applyFill="1" applyBorder="1" applyAlignment="1">
      <alignment horizontal="center" vertical="center" textRotation="90"/>
    </xf>
    <xf numFmtId="0" fontId="114" fillId="27" borderId="788" xfId="21" applyFont="1" applyFill="1" applyBorder="1" applyAlignment="1">
      <alignment horizontal="left" wrapText="1"/>
    </xf>
    <xf numFmtId="0" fontId="154" fillId="7" borderId="684" xfId="45" applyFont="1" applyFill="1" applyBorder="1" applyAlignment="1">
      <alignment horizontal="left"/>
    </xf>
    <xf numFmtId="0" fontId="4" fillId="0" borderId="606" xfId="0" applyFont="1" applyBorder="1" applyAlignment="1">
      <alignment horizontal="center"/>
    </xf>
    <xf numFmtId="0" fontId="4" fillId="0" borderId="607" xfId="0" applyFont="1" applyBorder="1" applyAlignment="1">
      <alignment horizontal="center"/>
    </xf>
    <xf numFmtId="0" fontId="29" fillId="0" borderId="400" xfId="0" applyFont="1" applyBorder="1" applyAlignment="1">
      <alignment horizontal="center"/>
    </xf>
    <xf numFmtId="0" fontId="29" fillId="0" borderId="402" xfId="0" applyFont="1" applyBorder="1" applyAlignment="1">
      <alignment horizontal="center"/>
    </xf>
    <xf numFmtId="0" fontId="67" fillId="10" borderId="457" xfId="0" applyFont="1" applyFill="1" applyBorder="1" applyAlignment="1">
      <alignment horizontal="left"/>
    </xf>
    <xf numFmtId="0" fontId="67" fillId="10" borderId="466" xfId="0" applyFont="1" applyFill="1" applyBorder="1" applyAlignment="1">
      <alignment horizontal="left"/>
    </xf>
    <xf numFmtId="0" fontId="66" fillId="10" borderId="457" xfId="0" applyFont="1" applyFill="1" applyBorder="1" applyAlignment="1">
      <alignment horizontal="left"/>
    </xf>
    <xf numFmtId="0" fontId="66" fillId="10" borderId="466" xfId="0" applyFont="1" applyFill="1" applyBorder="1" applyAlignment="1">
      <alignment horizontal="left"/>
    </xf>
    <xf numFmtId="4" fontId="4" fillId="33" borderId="534" xfId="1" applyFont="1" applyFill="1" applyBorder="1" applyAlignment="1" applyProtection="1">
      <alignment horizontal="right"/>
      <protection locked="0"/>
    </xf>
    <xf numFmtId="4" fontId="4" fillId="33" borderId="525" xfId="1" applyFont="1" applyFill="1" applyBorder="1" applyAlignment="1" applyProtection="1">
      <alignment horizontal="right"/>
      <protection locked="0"/>
    </xf>
    <xf numFmtId="4" fontId="4" fillId="33" borderId="528" xfId="1" applyFont="1" applyFill="1" applyBorder="1" applyAlignment="1" applyProtection="1">
      <alignment horizontal="right"/>
      <protection locked="0"/>
    </xf>
    <xf numFmtId="4" fontId="4" fillId="33" borderId="535" xfId="1" applyFont="1" applyFill="1" applyBorder="1" applyAlignment="1" applyProtection="1">
      <alignment horizontal="right"/>
      <protection locked="0"/>
    </xf>
    <xf numFmtId="4" fontId="4" fillId="33" borderId="76" xfId="1" applyFont="1" applyFill="1" applyBorder="1" applyAlignment="1" applyProtection="1">
      <alignment horizontal="right"/>
      <protection locked="0"/>
    </xf>
    <xf numFmtId="4" fontId="4" fillId="33" borderId="478" xfId="1" applyFont="1" applyFill="1" applyBorder="1" applyAlignment="1" applyProtection="1">
      <alignment horizontal="right"/>
      <protection locked="0"/>
    </xf>
    <xf numFmtId="0" fontId="4" fillId="33" borderId="522" xfId="0" applyFont="1" applyFill="1" applyBorder="1" applyAlignment="1" applyProtection="1">
      <alignment horizontal="left"/>
      <protection locked="0"/>
    </xf>
    <xf numFmtId="0" fontId="4" fillId="33" borderId="520" xfId="0" applyFont="1" applyFill="1" applyBorder="1" applyAlignment="1" applyProtection="1">
      <alignment horizontal="left"/>
      <protection locked="0"/>
    </xf>
    <xf numFmtId="4" fontId="67" fillId="10" borderId="457" xfId="0" applyNumberFormat="1" applyFont="1" applyFill="1" applyBorder="1" applyAlignment="1">
      <alignment horizontal="right"/>
    </xf>
    <xf numFmtId="4" fontId="67" fillId="10" borderId="466" xfId="0" applyNumberFormat="1" applyFont="1" applyFill="1" applyBorder="1" applyAlignment="1">
      <alignment horizontal="right"/>
    </xf>
    <xf numFmtId="4" fontId="67" fillId="10" borderId="458" xfId="0" applyNumberFormat="1" applyFont="1" applyFill="1" applyBorder="1" applyAlignment="1">
      <alignment horizontal="right"/>
    </xf>
    <xf numFmtId="4" fontId="66" fillId="10" borderId="457" xfId="0" applyNumberFormat="1" applyFont="1" applyFill="1" applyBorder="1" applyAlignment="1">
      <alignment horizontal="right"/>
    </xf>
    <xf numFmtId="4" fontId="66" fillId="10" borderId="458" xfId="0" applyNumberFormat="1" applyFont="1" applyFill="1" applyBorder="1" applyAlignment="1">
      <alignment horizontal="right"/>
    </xf>
    <xf numFmtId="4" fontId="67" fillId="10" borderId="508" xfId="0" applyNumberFormat="1" applyFont="1" applyFill="1" applyBorder="1" applyAlignment="1">
      <alignment horizontal="right"/>
    </xf>
    <xf numFmtId="4" fontId="67" fillId="10" borderId="510" xfId="0" applyNumberFormat="1" applyFont="1" applyFill="1" applyBorder="1" applyAlignment="1">
      <alignment horizontal="right"/>
    </xf>
    <xf numFmtId="4" fontId="66" fillId="10" borderId="466" xfId="0" applyNumberFormat="1" applyFont="1" applyFill="1" applyBorder="1" applyAlignment="1">
      <alignment horizontal="right"/>
    </xf>
    <xf numFmtId="0" fontId="22" fillId="11" borderId="165" xfId="0" applyFont="1" applyFill="1" applyBorder="1" applyAlignment="1">
      <alignment horizontal="center"/>
    </xf>
    <xf numFmtId="0" fontId="22" fillId="11" borderId="231" xfId="0" applyFont="1" applyFill="1" applyBorder="1" applyAlignment="1">
      <alignment horizontal="center"/>
    </xf>
    <xf numFmtId="0" fontId="22" fillId="11" borderId="167" xfId="0" applyFont="1" applyFill="1" applyBorder="1" applyAlignment="1">
      <alignment horizontal="center"/>
    </xf>
    <xf numFmtId="0" fontId="22" fillId="11" borderId="508" xfId="0" applyFont="1" applyFill="1" applyBorder="1" applyAlignment="1">
      <alignment horizontal="center"/>
    </xf>
    <xf numFmtId="0" fontId="22" fillId="11" borderId="509" xfId="0" applyFont="1" applyFill="1" applyBorder="1" applyAlignment="1">
      <alignment horizontal="center"/>
    </xf>
    <xf numFmtId="0" fontId="22" fillId="11" borderId="510" xfId="0" applyFont="1" applyFill="1" applyBorder="1" applyAlignment="1">
      <alignment horizontal="center"/>
    </xf>
    <xf numFmtId="0" fontId="4" fillId="7" borderId="177" xfId="0" applyFont="1" applyFill="1" applyBorder="1" applyAlignment="1">
      <alignment horizontal="center" vertical="center" wrapText="1"/>
    </xf>
    <xf numFmtId="3" fontId="73" fillId="18" borderId="0" xfId="15" applyFont="1" applyFill="1" applyBorder="1" applyAlignment="1" applyProtection="1">
      <alignment horizontal="left"/>
    </xf>
    <xf numFmtId="3" fontId="73" fillId="18" borderId="177" xfId="15" applyFont="1" applyFill="1" applyBorder="1" applyAlignment="1" applyProtection="1">
      <alignment horizontal="left"/>
    </xf>
    <xf numFmtId="3" fontId="38" fillId="11" borderId="165" xfId="15" applyFont="1" applyFill="1" applyBorder="1" applyAlignment="1" applyProtection="1">
      <alignment horizontal="left" vertical="center"/>
    </xf>
    <xf numFmtId="3" fontId="38" fillId="11" borderId="231" xfId="15" applyFont="1" applyFill="1" applyBorder="1" applyAlignment="1" applyProtection="1">
      <alignment horizontal="left" vertical="center"/>
    </xf>
    <xf numFmtId="3" fontId="38" fillId="11" borderId="167" xfId="15" applyFont="1" applyFill="1" applyBorder="1" applyAlignment="1" applyProtection="1">
      <alignment horizontal="left" vertical="center"/>
    </xf>
    <xf numFmtId="3" fontId="38" fillId="11" borderId="508" xfId="15" applyFont="1" applyFill="1" applyBorder="1" applyAlignment="1" applyProtection="1">
      <alignment horizontal="left" vertical="center"/>
    </xf>
    <xf numFmtId="3" fontId="38" fillId="11" borderId="509" xfId="15" applyFont="1" applyFill="1" applyBorder="1" applyAlignment="1" applyProtection="1">
      <alignment horizontal="left" vertical="center"/>
    </xf>
    <xf numFmtId="3" fontId="38" fillId="11" borderId="510" xfId="15" applyFont="1" applyFill="1" applyBorder="1" applyAlignment="1" applyProtection="1">
      <alignment horizontal="left" vertical="center"/>
    </xf>
    <xf numFmtId="3" fontId="38" fillId="3" borderId="508" xfId="15" applyFont="1" applyFill="1" applyBorder="1" applyAlignment="1" applyProtection="1">
      <alignment horizontal="center"/>
    </xf>
    <xf numFmtId="3" fontId="38" fillId="3" borderId="510" xfId="15" applyFont="1" applyFill="1" applyBorder="1" applyAlignment="1" applyProtection="1">
      <alignment horizontal="center"/>
    </xf>
    <xf numFmtId="4" fontId="104" fillId="33" borderId="463" xfId="15" applyNumberFormat="1" applyFont="1" applyFill="1" applyBorder="1" applyAlignment="1" applyProtection="1">
      <alignment horizontal="right"/>
      <protection locked="0"/>
    </xf>
    <xf numFmtId="4" fontId="104" fillId="33" borderId="134" xfId="15" applyNumberFormat="1" applyFont="1" applyFill="1" applyBorder="1" applyAlignment="1" applyProtection="1">
      <alignment horizontal="right"/>
      <protection locked="0"/>
    </xf>
    <xf numFmtId="4" fontId="104" fillId="33" borderId="488" xfId="15" applyNumberFormat="1" applyFont="1" applyFill="1" applyBorder="1" applyAlignment="1" applyProtection="1">
      <alignment horizontal="right"/>
      <protection locked="0"/>
    </xf>
    <xf numFmtId="4" fontId="104" fillId="33" borderId="131" xfId="15" applyNumberFormat="1" applyFont="1" applyFill="1" applyBorder="1" applyAlignment="1" applyProtection="1">
      <alignment horizontal="right"/>
      <protection locked="0"/>
    </xf>
    <xf numFmtId="4" fontId="104" fillId="33" borderId="385" xfId="15" applyNumberFormat="1" applyFont="1" applyFill="1" applyBorder="1" applyAlignment="1" applyProtection="1">
      <alignment horizontal="right"/>
      <protection locked="0"/>
    </xf>
    <xf numFmtId="4" fontId="104" fillId="33" borderId="490" xfId="15" applyNumberFormat="1" applyFont="1" applyFill="1" applyBorder="1" applyAlignment="1" applyProtection="1">
      <alignment horizontal="right"/>
      <protection locked="0"/>
    </xf>
    <xf numFmtId="4" fontId="73" fillId="10" borderId="466" xfId="15" applyNumberFormat="1" applyFont="1" applyFill="1" applyBorder="1" applyAlignment="1" applyProtection="1">
      <alignment horizontal="right"/>
    </xf>
    <xf numFmtId="4" fontId="73" fillId="10" borderId="458" xfId="15" applyNumberFormat="1" applyFont="1" applyFill="1" applyBorder="1" applyAlignment="1" applyProtection="1">
      <alignment horizontal="right"/>
    </xf>
    <xf numFmtId="3" fontId="38" fillId="3" borderId="509" xfId="15" applyFont="1" applyFill="1" applyBorder="1" applyAlignment="1" applyProtection="1">
      <alignment horizontal="center"/>
    </xf>
    <xf numFmtId="3" fontId="73" fillId="10" borderId="509" xfId="15" applyFont="1" applyFill="1" applyBorder="1" applyAlignment="1" applyProtection="1">
      <alignment horizontal="left"/>
    </xf>
    <xf numFmtId="0" fontId="38" fillId="30" borderId="217" xfId="0" applyFont="1" applyFill="1" applyBorder="1" applyAlignment="1">
      <alignment horizontal="center"/>
    </xf>
    <xf numFmtId="0" fontId="38" fillId="30" borderId="0" xfId="0" applyFont="1" applyFill="1" applyAlignment="1">
      <alignment horizontal="center"/>
    </xf>
    <xf numFmtId="1" fontId="143" fillId="7" borderId="457" xfId="0" applyNumberFormat="1" applyFont="1" applyFill="1" applyBorder="1" applyAlignment="1">
      <alignment horizontal="center"/>
    </xf>
    <xf numFmtId="0" fontId="143" fillId="7" borderId="466" xfId="0" applyFont="1" applyFill="1" applyBorder="1" applyAlignment="1">
      <alignment horizontal="center"/>
    </xf>
    <xf numFmtId="0" fontId="143" fillId="7" borderId="458" xfId="0" applyFont="1" applyFill="1" applyBorder="1" applyAlignment="1">
      <alignment horizontal="center"/>
    </xf>
    <xf numFmtId="4" fontId="4" fillId="7" borderId="455" xfId="0" applyNumberFormat="1" applyFont="1" applyFill="1" applyBorder="1" applyAlignment="1">
      <alignment horizontal="right"/>
    </xf>
    <xf numFmtId="4" fontId="4" fillId="7" borderId="429" xfId="0" applyNumberFormat="1" applyFont="1" applyFill="1" applyBorder="1" applyAlignment="1">
      <alignment horizontal="right"/>
    </xf>
    <xf numFmtId="4" fontId="4" fillId="7" borderId="536" xfId="0" applyNumberFormat="1" applyFont="1" applyFill="1" applyBorder="1" applyAlignment="1">
      <alignment horizontal="right"/>
    </xf>
    <xf numFmtId="0" fontId="38" fillId="7" borderId="538" xfId="0" applyFont="1" applyFill="1" applyBorder="1" applyAlignment="1">
      <alignment horizontal="left"/>
    </xf>
    <xf numFmtId="0" fontId="38" fillId="7" borderId="466" xfId="0" applyFont="1" applyFill="1" applyBorder="1" applyAlignment="1">
      <alignment horizontal="left"/>
    </xf>
    <xf numFmtId="0" fontId="4" fillId="7" borderId="523" xfId="0" applyFont="1" applyFill="1" applyBorder="1" applyAlignment="1">
      <alignment horizontal="left"/>
    </xf>
    <xf numFmtId="0" fontId="4" fillId="7" borderId="429" xfId="0" applyFont="1" applyFill="1" applyBorder="1" applyAlignment="1">
      <alignment horizontal="left"/>
    </xf>
    <xf numFmtId="4" fontId="67" fillId="10" borderId="231" xfId="0" applyNumberFormat="1" applyFont="1" applyFill="1" applyBorder="1" applyAlignment="1">
      <alignment horizontal="right"/>
    </xf>
    <xf numFmtId="3" fontId="73" fillId="10" borderId="0" xfId="15" applyFont="1" applyFill="1" applyBorder="1" applyAlignment="1" applyProtection="1">
      <alignment horizontal="left"/>
    </xf>
    <xf numFmtId="3" fontId="73" fillId="10" borderId="177" xfId="15" applyFont="1" applyFill="1" applyBorder="1" applyAlignment="1" applyProtection="1">
      <alignment horizontal="left"/>
    </xf>
    <xf numFmtId="0" fontId="67" fillId="10" borderId="0" xfId="0" applyFont="1" applyFill="1" applyAlignment="1">
      <alignment horizontal="left"/>
    </xf>
    <xf numFmtId="4" fontId="104" fillId="33" borderId="482" xfId="15" applyNumberFormat="1" applyFont="1" applyFill="1" applyBorder="1" applyAlignment="1" applyProtection="1">
      <alignment horizontal="right"/>
      <protection locked="0"/>
    </xf>
    <xf numFmtId="4" fontId="104" fillId="33" borderId="493" xfId="15" applyNumberFormat="1" applyFont="1" applyFill="1" applyBorder="1" applyAlignment="1" applyProtection="1">
      <alignment horizontal="right"/>
      <protection locked="0"/>
    </xf>
    <xf numFmtId="4" fontId="73" fillId="10" borderId="246" xfId="15" applyNumberFormat="1" applyFont="1" applyFill="1" applyBorder="1" applyAlignment="1" applyProtection="1">
      <alignment horizontal="right"/>
    </xf>
    <xf numFmtId="4" fontId="73" fillId="10" borderId="476" xfId="15" applyNumberFormat="1" applyFont="1" applyFill="1" applyBorder="1" applyAlignment="1" applyProtection="1">
      <alignment horizontal="right"/>
    </xf>
    <xf numFmtId="0" fontId="4" fillId="7" borderId="521" xfId="0" applyFont="1" applyFill="1" applyBorder="1" applyAlignment="1">
      <alignment horizontal="left"/>
    </xf>
    <xf numFmtId="0" fontId="4" fillId="7" borderId="519" xfId="0" applyFont="1" applyFill="1" applyBorder="1" applyAlignment="1">
      <alignment horizontal="left"/>
    </xf>
    <xf numFmtId="0" fontId="4" fillId="7" borderId="522" xfId="0" applyFont="1" applyFill="1" applyBorder="1" applyAlignment="1">
      <alignment horizontal="left"/>
    </xf>
    <xf numFmtId="0" fontId="4" fillId="7" borderId="520" xfId="0" applyFont="1" applyFill="1" applyBorder="1" applyAlignment="1">
      <alignment horizontal="left"/>
    </xf>
    <xf numFmtId="0" fontId="4" fillId="33" borderId="524" xfId="0" applyFont="1" applyFill="1" applyBorder="1" applyAlignment="1" applyProtection="1">
      <alignment horizontal="left"/>
      <protection locked="0"/>
    </xf>
    <xf numFmtId="0" fontId="4" fillId="33" borderId="525" xfId="0" applyFont="1" applyFill="1" applyBorder="1" applyAlignment="1" applyProtection="1">
      <alignment horizontal="left"/>
      <protection locked="0"/>
    </xf>
    <xf numFmtId="1" fontId="143" fillId="7" borderId="537" xfId="0" applyNumberFormat="1" applyFont="1" applyFill="1" applyBorder="1" applyAlignment="1">
      <alignment horizontal="center"/>
    </xf>
    <xf numFmtId="0" fontId="143" fillId="7" borderId="539" xfId="0" applyFont="1" applyFill="1" applyBorder="1" applyAlignment="1">
      <alignment horizontal="center"/>
    </xf>
    <xf numFmtId="4" fontId="4" fillId="7" borderId="442" xfId="0" applyNumberFormat="1" applyFont="1" applyFill="1" applyBorder="1" applyAlignment="1">
      <alignment horizontal="right"/>
    </xf>
    <xf numFmtId="4" fontId="4" fillId="7" borderId="462" xfId="0" applyNumberFormat="1" applyFont="1" applyFill="1" applyBorder="1" applyAlignment="1">
      <alignment horizontal="right"/>
    </xf>
    <xf numFmtId="4" fontId="4" fillId="7" borderId="534" xfId="0" applyNumberFormat="1" applyFont="1" applyFill="1" applyBorder="1" applyAlignment="1">
      <alignment horizontal="right"/>
    </xf>
    <xf numFmtId="4" fontId="4" fillId="7" borderId="528" xfId="0" applyNumberFormat="1" applyFont="1" applyFill="1" applyBorder="1" applyAlignment="1">
      <alignment horizontal="right"/>
    </xf>
    <xf numFmtId="4" fontId="4" fillId="7" borderId="535" xfId="0" applyNumberFormat="1" applyFont="1" applyFill="1" applyBorder="1" applyAlignment="1">
      <alignment horizontal="right"/>
    </xf>
    <xf numFmtId="4" fontId="4" fillId="7" borderId="478" xfId="0" applyNumberFormat="1" applyFont="1" applyFill="1" applyBorder="1" applyAlignment="1">
      <alignment horizontal="right"/>
    </xf>
    <xf numFmtId="4" fontId="4" fillId="7" borderId="530" xfId="0" applyNumberFormat="1" applyFont="1" applyFill="1" applyBorder="1" applyAlignment="1">
      <alignment horizontal="right"/>
    </xf>
    <xf numFmtId="4" fontId="4" fillId="7" borderId="519" xfId="0" applyNumberFormat="1" applyFont="1" applyFill="1" applyBorder="1" applyAlignment="1">
      <alignment horizontal="right"/>
    </xf>
    <xf numFmtId="4" fontId="4" fillId="7" borderId="531" xfId="0" applyNumberFormat="1" applyFont="1" applyFill="1" applyBorder="1" applyAlignment="1">
      <alignment horizontal="right"/>
    </xf>
    <xf numFmtId="4" fontId="4" fillId="7" borderId="532" xfId="0" applyNumberFormat="1" applyFont="1" applyFill="1" applyBorder="1" applyAlignment="1">
      <alignment horizontal="right"/>
    </xf>
    <xf numFmtId="4" fontId="4" fillId="7" borderId="520" xfId="0" applyNumberFormat="1" applyFont="1" applyFill="1" applyBorder="1" applyAlignment="1">
      <alignment horizontal="right"/>
    </xf>
    <xf numFmtId="4" fontId="4" fillId="7" borderId="533" xfId="0" applyNumberFormat="1" applyFont="1" applyFill="1" applyBorder="1" applyAlignment="1">
      <alignment horizontal="right"/>
    </xf>
    <xf numFmtId="0" fontId="4" fillId="33" borderId="526" xfId="0" applyFont="1" applyFill="1" applyBorder="1" applyAlignment="1" applyProtection="1">
      <alignment horizontal="left"/>
      <protection locked="0"/>
    </xf>
    <xf numFmtId="0" fontId="4" fillId="33" borderId="527" xfId="0" applyFont="1" applyFill="1" applyBorder="1" applyAlignment="1" applyProtection="1">
      <alignment horizontal="left"/>
      <protection locked="0"/>
    </xf>
    <xf numFmtId="3" fontId="38" fillId="3" borderId="201" xfId="15" applyFont="1" applyFill="1" applyBorder="1" applyAlignment="1" applyProtection="1">
      <alignment horizontal="left"/>
    </xf>
    <xf numFmtId="0" fontId="4" fillId="35" borderId="201" xfId="15" applyNumberFormat="1" applyFont="1" applyFill="1" applyBorder="1" applyAlignment="1" applyProtection="1">
      <alignment horizontal="left"/>
      <protection locked="0"/>
    </xf>
    <xf numFmtId="3" fontId="38" fillId="3" borderId="843" xfId="15" applyFont="1" applyFill="1" applyBorder="1" applyAlignment="1" applyProtection="1">
      <alignment horizontal="center" vertical="center"/>
    </xf>
    <xf numFmtId="3" fontId="38" fillId="3" borderId="841" xfId="15" applyFont="1" applyFill="1" applyBorder="1" applyAlignment="1" applyProtection="1">
      <alignment horizontal="center" vertical="center"/>
    </xf>
    <xf numFmtId="3" fontId="38" fillId="3" borderId="842" xfId="15" applyFont="1" applyFill="1" applyBorder="1" applyAlignment="1" applyProtection="1">
      <alignment horizontal="center" vertical="center"/>
    </xf>
    <xf numFmtId="3" fontId="38" fillId="3" borderId="742" xfId="15" applyFont="1" applyFill="1" applyBorder="1" applyAlignment="1" applyProtection="1">
      <alignment horizontal="center" vertical="center"/>
    </xf>
    <xf numFmtId="3" fontId="38" fillId="3" borderId="0" xfId="15" applyFont="1" applyFill="1" applyBorder="1" applyAlignment="1" applyProtection="1">
      <alignment horizontal="center" vertical="center"/>
    </xf>
    <xf numFmtId="3" fontId="38" fillId="3" borderId="177" xfId="15" applyFont="1" applyFill="1" applyBorder="1" applyAlignment="1" applyProtection="1">
      <alignment horizontal="center" vertical="center"/>
    </xf>
    <xf numFmtId="3" fontId="38" fillId="3" borderId="648" xfId="15" applyFont="1" applyFill="1" applyBorder="1" applyAlignment="1" applyProtection="1">
      <alignment horizontal="center" vertical="center"/>
    </xf>
    <xf numFmtId="3" fontId="38" fillId="3" borderId="509" xfId="15" applyFont="1" applyFill="1" applyBorder="1" applyAlignment="1" applyProtection="1">
      <alignment horizontal="center" vertical="center"/>
    </xf>
    <xf numFmtId="3" fontId="38" fillId="3" borderId="510" xfId="15" applyFont="1" applyFill="1" applyBorder="1" applyAlignment="1" applyProtection="1">
      <alignment horizontal="center" vertical="center"/>
    </xf>
    <xf numFmtId="3" fontId="38" fillId="3" borderId="457" xfId="15" applyFont="1" applyFill="1" applyBorder="1" applyAlignment="1" applyProtection="1">
      <alignment horizontal="center"/>
    </xf>
    <xf numFmtId="3" fontId="38" fillId="3" borderId="466" xfId="15" applyFont="1" applyFill="1" applyBorder="1" applyAlignment="1" applyProtection="1">
      <alignment horizontal="center"/>
    </xf>
    <xf numFmtId="3" fontId="38" fillId="3" borderId="458" xfId="15" applyFont="1" applyFill="1" applyBorder="1" applyAlignment="1" applyProtection="1">
      <alignment horizontal="center"/>
    </xf>
    <xf numFmtId="3" fontId="175" fillId="0" borderId="246" xfId="15" applyFont="1" applyFill="1" applyBorder="1" applyAlignment="1" applyProtection="1">
      <alignment horizontal="center"/>
    </xf>
    <xf numFmtId="3" fontId="175" fillId="0" borderId="247" xfId="15" applyFont="1" applyFill="1" applyBorder="1" applyAlignment="1" applyProtection="1">
      <alignment horizontal="center"/>
    </xf>
    <xf numFmtId="3" fontId="175" fillId="0" borderId="248" xfId="15" applyFont="1" applyFill="1" applyBorder="1" applyAlignment="1" applyProtection="1">
      <alignment horizontal="center"/>
    </xf>
    <xf numFmtId="0" fontId="67" fillId="10" borderId="231" xfId="0" applyFont="1" applyFill="1" applyBorder="1" applyAlignment="1">
      <alignment horizontal="center"/>
    </xf>
    <xf numFmtId="0" fontId="67" fillId="10" borderId="659" xfId="0" applyFont="1" applyFill="1" applyBorder="1" applyAlignment="1">
      <alignment horizontal="center"/>
    </xf>
    <xf numFmtId="0" fontId="73" fillId="10" borderId="0" xfId="0" applyFont="1" applyFill="1" applyAlignment="1">
      <alignment horizontal="center"/>
    </xf>
    <xf numFmtId="0" fontId="73" fillId="10" borderId="177" xfId="0" applyFont="1" applyFill="1" applyBorder="1" applyAlignment="1">
      <alignment horizontal="center"/>
    </xf>
    <xf numFmtId="3" fontId="4" fillId="33" borderId="78" xfId="15" applyFont="1" applyFill="1" applyBorder="1" applyAlignment="1" applyProtection="1">
      <alignment horizontal="left"/>
      <protection locked="0"/>
    </xf>
    <xf numFmtId="3" fontId="4" fillId="33" borderId="163" xfId="15" applyFont="1" applyFill="1" applyBorder="1" applyAlignment="1" applyProtection="1">
      <alignment horizontal="left"/>
      <protection locked="0"/>
    </xf>
    <xf numFmtId="3" fontId="4" fillId="33" borderId="398" xfId="15" applyFont="1" applyFill="1" applyBorder="1" applyAlignment="1" applyProtection="1">
      <alignment horizontal="left"/>
      <protection locked="0"/>
    </xf>
    <xf numFmtId="3" fontId="4" fillId="33" borderId="434" xfId="15" applyFont="1" applyFill="1" applyBorder="1" applyAlignment="1" applyProtection="1">
      <alignment horizontal="left"/>
      <protection locked="0"/>
    </xf>
    <xf numFmtId="3" fontId="4" fillId="33" borderId="492" xfId="15" applyFont="1" applyFill="1" applyBorder="1" applyAlignment="1" applyProtection="1">
      <alignment horizontal="left"/>
      <protection locked="0"/>
    </xf>
    <xf numFmtId="3" fontId="73" fillId="10" borderId="457" xfId="15" applyFont="1" applyFill="1" applyBorder="1" applyAlignment="1" applyProtection="1">
      <alignment horizontal="center"/>
    </xf>
    <xf numFmtId="3" fontId="73" fillId="10" borderId="458" xfId="15" applyFont="1" applyFill="1" applyBorder="1" applyAlignment="1" applyProtection="1">
      <alignment horizontal="center"/>
    </xf>
    <xf numFmtId="3" fontId="38" fillId="11" borderId="165" xfId="15" applyFont="1" applyFill="1" applyBorder="1" applyAlignment="1" applyProtection="1">
      <alignment horizontal="center"/>
    </xf>
    <xf numFmtId="3" fontId="38" fillId="11" borderId="231" xfId="15" applyFont="1" applyFill="1" applyBorder="1" applyAlignment="1" applyProtection="1">
      <alignment horizontal="center"/>
    </xf>
    <xf numFmtId="3" fontId="38" fillId="11" borderId="474" xfId="15" applyFont="1" applyFill="1" applyBorder="1" applyAlignment="1" applyProtection="1">
      <alignment horizontal="center"/>
    </xf>
    <xf numFmtId="3" fontId="4" fillId="11" borderId="246" xfId="15" applyFont="1" applyFill="1" applyBorder="1" applyAlignment="1" applyProtection="1">
      <alignment horizontal="center"/>
    </xf>
    <xf numFmtId="3" fontId="4" fillId="11" borderId="247" xfId="15" applyFont="1" applyFill="1" applyBorder="1" applyAlignment="1" applyProtection="1">
      <alignment horizontal="center"/>
    </xf>
    <xf numFmtId="3" fontId="4" fillId="11" borderId="476" xfId="15" applyFont="1" applyFill="1" applyBorder="1" applyAlignment="1" applyProtection="1">
      <alignment horizontal="center"/>
    </xf>
    <xf numFmtId="3" fontId="104" fillId="33" borderId="194" xfId="15" applyFont="1" applyFill="1" applyBorder="1" applyAlignment="1" applyProtection="1">
      <alignment horizontal="center"/>
      <protection locked="0"/>
    </xf>
    <xf numFmtId="3" fontId="104" fillId="33" borderId="145" xfId="15" applyFont="1" applyFill="1" applyBorder="1" applyAlignment="1" applyProtection="1">
      <alignment horizontal="center"/>
      <protection locked="0"/>
    </xf>
    <xf numFmtId="3" fontId="104" fillId="33" borderId="488" xfId="15" applyFont="1" applyFill="1" applyBorder="1" applyAlignment="1" applyProtection="1">
      <alignment horizontal="center"/>
      <protection locked="0"/>
    </xf>
    <xf numFmtId="3" fontId="104" fillId="33" borderId="131" xfId="15" applyFont="1" applyFill="1" applyBorder="1" applyAlignment="1" applyProtection="1">
      <alignment horizontal="center"/>
      <protection locked="0"/>
    </xf>
    <xf numFmtId="3" fontId="104" fillId="33" borderId="385" xfId="15" applyFont="1" applyFill="1" applyBorder="1" applyAlignment="1" applyProtection="1">
      <alignment horizontal="center"/>
      <protection locked="0"/>
    </xf>
    <xf numFmtId="3" fontId="104" fillId="33" borderId="490" xfId="15" applyFont="1" applyFill="1" applyBorder="1" applyAlignment="1" applyProtection="1">
      <alignment horizontal="center"/>
      <protection locked="0"/>
    </xf>
    <xf numFmtId="3" fontId="4" fillId="33" borderId="395" xfId="15" applyFont="1" applyFill="1" applyBorder="1" applyAlignment="1" applyProtection="1">
      <alignment horizontal="left"/>
      <protection locked="0"/>
    </xf>
    <xf numFmtId="0" fontId="4" fillId="27" borderId="655" xfId="0" applyFont="1" applyFill="1" applyBorder="1" applyAlignment="1">
      <alignment horizontal="left"/>
    </xf>
    <xf numFmtId="0" fontId="4" fillId="27" borderId="675" xfId="0" applyFont="1" applyFill="1" applyBorder="1" applyAlignment="1">
      <alignment horizontal="left"/>
    </xf>
    <xf numFmtId="0" fontId="4" fillId="7" borderId="468" xfId="0" applyFont="1" applyFill="1" applyBorder="1" applyAlignment="1">
      <alignment horizontal="left"/>
    </xf>
    <xf numFmtId="0" fontId="4" fillId="7" borderId="592" xfId="0" applyFont="1" applyFill="1" applyBorder="1" applyAlignment="1">
      <alignment horizontal="left"/>
    </xf>
    <xf numFmtId="0" fontId="4" fillId="0" borderId="74" xfId="0" applyFont="1" applyBorder="1" applyAlignment="1">
      <alignment horizontal="center"/>
    </xf>
    <xf numFmtId="0" fontId="4" fillId="0" borderId="0" xfId="0" applyFont="1" applyAlignment="1">
      <alignment horizontal="center"/>
    </xf>
    <xf numFmtId="3" fontId="137" fillId="27" borderId="99" xfId="0" applyNumberFormat="1" applyFont="1" applyFill="1" applyBorder="1" applyAlignment="1">
      <alignment horizontal="center"/>
    </xf>
    <xf numFmtId="3" fontId="137" fillId="27" borderId="231" xfId="0" applyNumberFormat="1" applyFont="1" applyFill="1" applyBorder="1" applyAlignment="1">
      <alignment horizontal="center"/>
    </xf>
    <xf numFmtId="3" fontId="137" fillId="27" borderId="474" xfId="0" applyNumberFormat="1" applyFont="1" applyFill="1" applyBorder="1" applyAlignment="1">
      <alignment horizontal="center"/>
    </xf>
    <xf numFmtId="3" fontId="137" fillId="27" borderId="471" xfId="0" applyNumberFormat="1" applyFont="1" applyFill="1" applyBorder="1" applyAlignment="1">
      <alignment horizontal="center"/>
    </xf>
    <xf numFmtId="3" fontId="137" fillId="27" borderId="0" xfId="0" applyNumberFormat="1" applyFont="1" applyFill="1" applyAlignment="1">
      <alignment horizontal="center"/>
    </xf>
    <xf numFmtId="3" fontId="137" fillId="27" borderId="177" xfId="0" applyNumberFormat="1" applyFont="1" applyFill="1" applyBorder="1" applyAlignment="1">
      <alignment horizontal="center"/>
    </xf>
    <xf numFmtId="3" fontId="67" fillId="18" borderId="475" xfId="0" applyNumberFormat="1" applyFont="1" applyFill="1" applyBorder="1" applyAlignment="1">
      <alignment horizontal="center"/>
    </xf>
    <xf numFmtId="3" fontId="67" fillId="18" borderId="247" xfId="0" applyNumberFormat="1" applyFont="1" applyFill="1" applyBorder="1" applyAlignment="1">
      <alignment horizontal="center"/>
    </xf>
    <xf numFmtId="3" fontId="67" fillId="18" borderId="476" xfId="0" applyNumberFormat="1" applyFont="1" applyFill="1" applyBorder="1" applyAlignment="1">
      <alignment horizontal="center"/>
    </xf>
    <xf numFmtId="3" fontId="137" fillId="27" borderId="54" xfId="0" applyNumberFormat="1" applyFont="1" applyFill="1" applyBorder="1" applyAlignment="1">
      <alignment horizontal="center"/>
    </xf>
    <xf numFmtId="3" fontId="137" fillId="27" borderId="650" xfId="0" applyNumberFormat="1" applyFont="1" applyFill="1" applyBorder="1" applyAlignment="1">
      <alignment horizontal="center"/>
    </xf>
    <xf numFmtId="3" fontId="137" fillId="27" borderId="509" xfId="0" applyNumberFormat="1" applyFont="1" applyFill="1" applyBorder="1" applyAlignment="1">
      <alignment horizontal="center"/>
    </xf>
    <xf numFmtId="3" fontId="137" fillId="27" borderId="610" xfId="0" applyNumberFormat="1" applyFont="1" applyFill="1" applyBorder="1" applyAlignment="1">
      <alignment horizontal="center"/>
    </xf>
    <xf numFmtId="0" fontId="4" fillId="0" borderId="472" xfId="0" applyFont="1" applyBorder="1" applyAlignment="1">
      <alignment horizontal="center"/>
    </xf>
    <xf numFmtId="3" fontId="67" fillId="18" borderId="678" xfId="0" applyNumberFormat="1" applyFont="1" applyFill="1" applyBorder="1" applyAlignment="1">
      <alignment horizontal="center"/>
    </xf>
    <xf numFmtId="3" fontId="67" fillId="18" borderId="509" xfId="0" applyNumberFormat="1" applyFont="1" applyFill="1" applyBorder="1" applyAlignment="1">
      <alignment horizontal="center"/>
    </xf>
    <xf numFmtId="3" fontId="67" fillId="18" borderId="610" xfId="0" applyNumberFormat="1" applyFont="1" applyFill="1" applyBorder="1" applyAlignment="1">
      <alignment horizontal="center"/>
    </xf>
    <xf numFmtId="3" fontId="67" fillId="18" borderId="480" xfId="0" applyNumberFormat="1" applyFont="1" applyFill="1" applyBorder="1" applyAlignment="1">
      <alignment horizontal="center"/>
    </xf>
    <xf numFmtId="0" fontId="4" fillId="7" borderId="395" xfId="0" applyFont="1" applyFill="1" applyBorder="1" applyAlignment="1">
      <alignment horizontal="left"/>
    </xf>
    <xf numFmtId="0" fontId="4" fillId="7" borderId="410" xfId="0" applyFont="1" applyFill="1" applyBorder="1" applyAlignment="1">
      <alignment horizontal="left"/>
    </xf>
    <xf numFmtId="0" fontId="38" fillId="7" borderId="190" xfId="0" applyFont="1" applyFill="1" applyBorder="1" applyAlignment="1">
      <alignment horizontal="left"/>
    </xf>
    <xf numFmtId="0" fontId="38" fillId="7" borderId="340" xfId="0" applyFont="1" applyFill="1" applyBorder="1" applyAlignment="1">
      <alignment horizontal="left"/>
    </xf>
    <xf numFmtId="0" fontId="4" fillId="33" borderId="87" xfId="0" applyFont="1" applyFill="1" applyBorder="1" applyAlignment="1" applyProtection="1">
      <alignment horizontal="left" wrapText="1"/>
      <protection locked="0"/>
    </xf>
    <xf numFmtId="0" fontId="4" fillId="33" borderId="395" xfId="0" applyFont="1" applyFill="1" applyBorder="1" applyAlignment="1" applyProtection="1">
      <alignment horizontal="left" wrapText="1"/>
      <protection locked="0"/>
    </xf>
    <xf numFmtId="0" fontId="4" fillId="33" borderId="410" xfId="0" applyFont="1" applyFill="1" applyBorder="1" applyAlignment="1" applyProtection="1">
      <alignment horizontal="left" wrapText="1"/>
      <protection locked="0"/>
    </xf>
    <xf numFmtId="3" fontId="143" fillId="27" borderId="770" xfId="0" applyNumberFormat="1" applyFont="1" applyFill="1" applyBorder="1" applyAlignment="1">
      <alignment horizontal="center"/>
    </xf>
    <xf numFmtId="3" fontId="143" fillId="27" borderId="771" xfId="0" applyNumberFormat="1" applyFont="1" applyFill="1" applyBorder="1" applyAlignment="1">
      <alignment horizontal="center"/>
    </xf>
    <xf numFmtId="3" fontId="143" fillId="27" borderId="772" xfId="0" applyNumberFormat="1" applyFont="1" applyFill="1" applyBorder="1" applyAlignment="1">
      <alignment horizontal="center"/>
    </xf>
    <xf numFmtId="3" fontId="143" fillId="77" borderId="737" xfId="0" applyNumberFormat="1" applyFont="1" applyFill="1" applyBorder="1" applyAlignment="1" applyProtection="1">
      <alignment horizontal="center"/>
      <protection locked="0"/>
    </xf>
    <xf numFmtId="3" fontId="143" fillId="77" borderId="684" xfId="0" applyNumberFormat="1" applyFont="1" applyFill="1" applyBorder="1" applyAlignment="1" applyProtection="1">
      <alignment horizontal="center"/>
      <protection locked="0"/>
    </xf>
    <xf numFmtId="3" fontId="143" fillId="77" borderId="693" xfId="0" applyNumberFormat="1" applyFont="1" applyFill="1" applyBorder="1" applyAlignment="1" applyProtection="1">
      <alignment horizontal="center"/>
      <protection locked="0"/>
    </xf>
    <xf numFmtId="3" fontId="143" fillId="77" borderId="557" xfId="0" applyNumberFormat="1" applyFont="1" applyFill="1" applyBorder="1" applyAlignment="1" applyProtection="1">
      <alignment horizontal="center"/>
      <protection locked="0"/>
    </xf>
    <xf numFmtId="3" fontId="143" fillId="77" borderId="467" xfId="0" applyNumberFormat="1" applyFont="1" applyFill="1" applyBorder="1" applyAlignment="1" applyProtection="1">
      <alignment horizontal="center"/>
      <protection locked="0"/>
    </xf>
    <xf numFmtId="3" fontId="143" fillId="77" borderId="590" xfId="0" applyNumberFormat="1" applyFont="1" applyFill="1" applyBorder="1" applyAlignment="1" applyProtection="1">
      <alignment horizontal="center"/>
      <protection locked="0"/>
    </xf>
    <xf numFmtId="3" fontId="73" fillId="9" borderId="808" xfId="0" applyNumberFormat="1" applyFont="1" applyFill="1" applyBorder="1" applyAlignment="1">
      <alignment horizontal="center"/>
    </xf>
    <xf numFmtId="3" fontId="67" fillId="18" borderId="177" xfId="0" applyNumberFormat="1" applyFont="1" applyFill="1" applyBorder="1" applyAlignment="1">
      <alignment horizontal="center"/>
    </xf>
    <xf numFmtId="3" fontId="67" fillId="18" borderId="0" xfId="0" applyNumberFormat="1" applyFont="1" applyFill="1" applyAlignment="1">
      <alignment horizontal="center"/>
    </xf>
    <xf numFmtId="3" fontId="73" fillId="9" borderId="613" xfId="0" applyNumberFormat="1" applyFont="1" applyFill="1" applyBorder="1" applyAlignment="1">
      <alignment horizontal="center"/>
    </xf>
    <xf numFmtId="0" fontId="4" fillId="33" borderId="655" xfId="0" applyFont="1" applyFill="1" applyBorder="1" applyAlignment="1" applyProtection="1">
      <alignment horizontal="left"/>
      <protection locked="0"/>
    </xf>
    <xf numFmtId="0" fontId="4" fillId="33" borderId="671" xfId="0" applyFont="1" applyFill="1" applyBorder="1" applyAlignment="1" applyProtection="1">
      <alignment horizontal="left"/>
      <protection locked="0"/>
    </xf>
    <xf numFmtId="3" fontId="67" fillId="10" borderId="757" xfId="0" applyNumberFormat="1" applyFont="1" applyFill="1" applyBorder="1" applyAlignment="1">
      <alignment horizontal="center"/>
    </xf>
    <xf numFmtId="3" fontId="67" fillId="10" borderId="613" xfId="0" applyNumberFormat="1" applyFont="1" applyFill="1" applyBorder="1" applyAlignment="1">
      <alignment horizontal="center"/>
    </xf>
    <xf numFmtId="3" fontId="67" fillId="10" borderId="807" xfId="0" applyNumberFormat="1" applyFont="1" applyFill="1" applyBorder="1" applyAlignment="1">
      <alignment horizontal="center"/>
    </xf>
    <xf numFmtId="3" fontId="143" fillId="27" borderId="658" xfId="0" applyNumberFormat="1" applyFont="1" applyFill="1" applyBorder="1" applyAlignment="1">
      <alignment horizontal="center"/>
    </xf>
    <xf numFmtId="3" fontId="143" fillId="27" borderId="679" xfId="0" applyNumberFormat="1" applyFont="1" applyFill="1" applyBorder="1" applyAlignment="1">
      <alignment horizontal="center"/>
    </xf>
    <xf numFmtId="3" fontId="143" fillId="27" borderId="680" xfId="0" applyNumberFormat="1" applyFont="1" applyFill="1" applyBorder="1" applyAlignment="1">
      <alignment horizontal="center"/>
    </xf>
    <xf numFmtId="0" fontId="38" fillId="7" borderId="596" xfId="0" applyFont="1" applyFill="1" applyBorder="1" applyAlignment="1">
      <alignment horizontal="left"/>
    </xf>
    <xf numFmtId="0" fontId="38" fillId="7" borderId="673" xfId="0" applyFont="1" applyFill="1" applyBorder="1" applyAlignment="1">
      <alignment horizontal="left"/>
    </xf>
    <xf numFmtId="0" fontId="4" fillId="60" borderId="676" xfId="0" applyFont="1" applyFill="1" applyBorder="1" applyAlignment="1" applyProtection="1">
      <alignment horizontal="left"/>
      <protection locked="0"/>
    </xf>
    <xf numFmtId="0" fontId="4" fillId="60" borderId="677" xfId="0" applyFont="1" applyFill="1" applyBorder="1" applyAlignment="1" applyProtection="1">
      <alignment horizontal="left"/>
      <protection locked="0"/>
    </xf>
    <xf numFmtId="0" fontId="4" fillId="60" borderId="660" xfId="0" applyFont="1" applyFill="1" applyBorder="1" applyAlignment="1" applyProtection="1">
      <alignment horizontal="left"/>
      <protection locked="0"/>
    </xf>
    <xf numFmtId="0" fontId="4" fillId="60" borderId="661" xfId="0" applyFont="1" applyFill="1" applyBorder="1" applyAlignment="1" applyProtection="1">
      <alignment horizontal="left"/>
      <protection locked="0"/>
    </xf>
    <xf numFmtId="0" fontId="38" fillId="7" borderId="506" xfId="0" applyFont="1" applyFill="1" applyBorder="1" applyAlignment="1">
      <alignment horizontal="left"/>
    </xf>
    <xf numFmtId="0" fontId="4" fillId="60" borderId="624" xfId="0" applyFont="1" applyFill="1" applyBorder="1" applyAlignment="1" applyProtection="1">
      <alignment horizontal="left"/>
      <protection locked="0"/>
    </xf>
    <xf numFmtId="0" fontId="4" fillId="60" borderId="663" xfId="0" applyFont="1" applyFill="1" applyBorder="1" applyAlignment="1" applyProtection="1">
      <alignment horizontal="left"/>
      <protection locked="0"/>
    </xf>
    <xf numFmtId="0" fontId="4" fillId="6" borderId="74" xfId="0" applyFont="1" applyFill="1" applyBorder="1" applyAlignment="1">
      <alignment horizontal="center"/>
    </xf>
    <xf numFmtId="0" fontId="4" fillId="6" borderId="0" xfId="0" applyFont="1" applyFill="1" applyAlignment="1">
      <alignment horizontal="center"/>
    </xf>
    <xf numFmtId="3" fontId="4" fillId="60" borderId="624" xfId="0" applyNumberFormat="1" applyFont="1" applyFill="1" applyBorder="1" applyAlignment="1" applyProtection="1">
      <alignment horizontal="left"/>
      <protection locked="0"/>
    </xf>
    <xf numFmtId="3" fontId="4" fillId="60" borderId="663" xfId="0" applyNumberFormat="1" applyFont="1" applyFill="1" applyBorder="1" applyAlignment="1" applyProtection="1">
      <alignment horizontal="left"/>
      <protection locked="0"/>
    </xf>
    <xf numFmtId="3" fontId="4" fillId="60" borderId="667" xfId="0" applyNumberFormat="1" applyFont="1" applyFill="1" applyBorder="1" applyAlignment="1" applyProtection="1">
      <alignment horizontal="left"/>
      <protection locked="0"/>
    </xf>
    <xf numFmtId="0" fontId="67" fillId="10" borderId="380" xfId="0" applyFont="1" applyFill="1" applyBorder="1" applyAlignment="1">
      <alignment horizontal="left"/>
    </xf>
    <xf numFmtId="0" fontId="67" fillId="10" borderId="317" xfId="0" applyFont="1" applyFill="1" applyBorder="1" applyAlignment="1">
      <alignment horizontal="left"/>
    </xf>
    <xf numFmtId="3" fontId="73" fillId="10" borderId="457" xfId="15" applyFont="1" applyFill="1" applyBorder="1" applyAlignment="1" applyProtection="1">
      <alignment horizontal="left"/>
    </xf>
    <xf numFmtId="3" fontId="73" fillId="10" borderId="466" xfId="15" applyFont="1" applyFill="1" applyBorder="1" applyAlignment="1" applyProtection="1">
      <alignment horizontal="left"/>
    </xf>
    <xf numFmtId="3" fontId="73" fillId="10" borderId="401" xfId="15" applyFont="1" applyFill="1" applyBorder="1" applyAlignment="1" applyProtection="1">
      <alignment horizontal="left"/>
    </xf>
    <xf numFmtId="0" fontId="38" fillId="58" borderId="457" xfId="0" applyFont="1" applyFill="1" applyBorder="1" applyAlignment="1">
      <alignment horizontal="center"/>
    </xf>
    <xf numFmtId="0" fontId="38" fillId="58" borderId="466" xfId="0" applyFont="1" applyFill="1" applyBorder="1" applyAlignment="1">
      <alignment horizontal="center"/>
    </xf>
    <xf numFmtId="0" fontId="38" fillId="58" borderId="458" xfId="0" applyFont="1" applyFill="1" applyBorder="1" applyAlignment="1">
      <alignment horizontal="center"/>
    </xf>
    <xf numFmtId="1" fontId="43" fillId="16" borderId="144" xfId="0" applyNumberFormat="1" applyFont="1" applyFill="1" applyBorder="1" applyAlignment="1">
      <alignment horizontal="center"/>
    </xf>
    <xf numFmtId="1" fontId="43" fillId="16" borderId="145" xfId="0" applyNumberFormat="1" applyFont="1" applyFill="1" applyBorder="1" applyAlignment="1">
      <alignment horizontal="center"/>
    </xf>
    <xf numFmtId="0" fontId="4" fillId="7" borderId="95" xfId="0" applyFont="1" applyFill="1" applyBorder="1" applyAlignment="1">
      <alignment horizontal="left"/>
    </xf>
    <xf numFmtId="0" fontId="4" fillId="7" borderId="128" xfId="0" applyFont="1" applyFill="1" applyBorder="1" applyAlignment="1">
      <alignment horizontal="left"/>
    </xf>
    <xf numFmtId="0" fontId="38" fillId="27" borderId="163" xfId="0" applyFont="1" applyFill="1" applyBorder="1" applyAlignment="1">
      <alignment horizontal="left"/>
    </xf>
    <xf numFmtId="0" fontId="38" fillId="27" borderId="300" xfId="0" applyFont="1" applyFill="1" applyBorder="1" applyAlignment="1">
      <alignment horizontal="left"/>
    </xf>
    <xf numFmtId="3" fontId="22" fillId="0" borderId="165" xfId="15" applyFont="1" applyFill="1" applyBorder="1" applyAlignment="1" applyProtection="1">
      <alignment horizontal="center" vertical="center"/>
    </xf>
    <xf numFmtId="3" fontId="22" fillId="0" borderId="231" xfId="15" applyFont="1" applyFill="1" applyBorder="1" applyAlignment="1" applyProtection="1">
      <alignment horizontal="center" vertical="center"/>
    </xf>
    <xf numFmtId="3" fontId="22" fillId="0" borderId="167" xfId="15" applyFont="1" applyFill="1" applyBorder="1" applyAlignment="1" applyProtection="1">
      <alignment horizontal="center" vertical="center"/>
    </xf>
    <xf numFmtId="3" fontId="175" fillId="0" borderId="226" xfId="15" applyFont="1" applyFill="1" applyBorder="1" applyAlignment="1" applyProtection="1">
      <alignment horizontal="center" vertical="center"/>
    </xf>
    <xf numFmtId="3" fontId="175" fillId="0" borderId="223" xfId="15" applyFont="1" applyFill="1" applyBorder="1" applyAlignment="1" applyProtection="1">
      <alignment horizontal="center" vertical="center"/>
    </xf>
    <xf numFmtId="3" fontId="175" fillId="0" borderId="466" xfId="15" applyFont="1" applyFill="1" applyBorder="1" applyAlignment="1" applyProtection="1">
      <alignment horizontal="center" vertical="center"/>
    </xf>
    <xf numFmtId="3" fontId="175" fillId="0" borderId="135" xfId="15" applyFont="1" applyFill="1" applyBorder="1" applyAlignment="1" applyProtection="1">
      <alignment horizontal="center" vertical="center"/>
    </xf>
    <xf numFmtId="3" fontId="38" fillId="0" borderId="165" xfId="15" applyFont="1" applyFill="1" applyBorder="1" applyAlignment="1" applyProtection="1">
      <alignment horizontal="center" vertical="center"/>
    </xf>
    <xf numFmtId="3" fontId="38" fillId="0" borderId="231" xfId="15" applyFont="1" applyFill="1" applyBorder="1" applyAlignment="1" applyProtection="1">
      <alignment horizontal="center" vertical="center"/>
    </xf>
    <xf numFmtId="3" fontId="38" fillId="0" borderId="167" xfId="15" applyFont="1" applyFill="1" applyBorder="1" applyAlignment="1" applyProtection="1">
      <alignment horizontal="center" vertical="center"/>
    </xf>
    <xf numFmtId="3" fontId="4" fillId="0" borderId="382" xfId="15" applyFont="1" applyFill="1" applyBorder="1" applyAlignment="1" applyProtection="1">
      <alignment horizontal="center" vertical="center"/>
    </xf>
    <xf numFmtId="3" fontId="4" fillId="0" borderId="383" xfId="15" applyFont="1" applyFill="1" applyBorder="1" applyAlignment="1" applyProtection="1">
      <alignment horizontal="center" vertical="center"/>
    </xf>
    <xf numFmtId="3" fontId="4" fillId="0" borderId="383" xfId="15" applyFont="1" applyFill="1" applyBorder="1" applyAlignment="1" applyProtection="1">
      <alignment horizontal="left" vertical="center" wrapText="1"/>
    </xf>
    <xf numFmtId="3" fontId="4" fillId="0" borderId="144" xfId="15" applyFont="1" applyFill="1" applyBorder="1" applyAlignment="1" applyProtection="1">
      <alignment horizontal="left" vertical="center" wrapText="1"/>
    </xf>
    <xf numFmtId="3" fontId="4" fillId="0" borderId="385" xfId="15" applyFont="1" applyFill="1" applyBorder="1" applyAlignment="1" applyProtection="1">
      <alignment horizontal="center" vertical="center"/>
    </xf>
    <xf numFmtId="3" fontId="4" fillId="0" borderId="386" xfId="15" applyFont="1" applyFill="1" applyBorder="1" applyAlignment="1" applyProtection="1">
      <alignment horizontal="center" vertical="center"/>
    </xf>
    <xf numFmtId="3" fontId="4" fillId="0" borderId="386" xfId="15" applyFont="1" applyFill="1" applyBorder="1" applyAlignment="1" applyProtection="1">
      <alignment horizontal="left" vertical="center" wrapText="1"/>
    </xf>
    <xf numFmtId="3" fontId="4" fillId="0" borderId="467" xfId="15" applyFont="1" applyFill="1" applyBorder="1" applyAlignment="1" applyProtection="1">
      <alignment horizontal="left" vertical="center" wrapText="1"/>
    </xf>
    <xf numFmtId="3" fontId="4" fillId="11" borderId="0" xfId="15" applyFont="1" applyFill="1" applyBorder="1" applyAlignment="1" applyProtection="1">
      <alignment horizontal="center"/>
    </xf>
    <xf numFmtId="3" fontId="4" fillId="11" borderId="177" xfId="15" applyFont="1" applyFill="1" applyBorder="1" applyAlignment="1" applyProtection="1">
      <alignment horizontal="center"/>
    </xf>
    <xf numFmtId="3" fontId="104" fillId="33" borderId="482" xfId="15" applyFont="1" applyFill="1" applyBorder="1" applyAlignment="1" applyProtection="1">
      <alignment horizontal="center"/>
      <protection locked="0"/>
    </xf>
    <xf numFmtId="3" fontId="104" fillId="33" borderId="493" xfId="15" applyFont="1" applyFill="1" applyBorder="1" applyAlignment="1" applyProtection="1">
      <alignment horizontal="center"/>
      <protection locked="0"/>
    </xf>
    <xf numFmtId="3" fontId="73" fillId="10" borderId="246" xfId="15" applyFont="1" applyFill="1" applyBorder="1" applyAlignment="1" applyProtection="1">
      <alignment horizontal="center"/>
    </xf>
    <xf numFmtId="3" fontId="73" fillId="10" borderId="476" xfId="15" applyFont="1" applyFill="1" applyBorder="1" applyAlignment="1" applyProtection="1">
      <alignment horizontal="center"/>
    </xf>
    <xf numFmtId="0" fontId="4" fillId="60" borderId="670" xfId="0" applyFont="1" applyFill="1" applyBorder="1" applyAlignment="1" applyProtection="1">
      <alignment horizontal="left"/>
      <protection locked="0"/>
    </xf>
    <xf numFmtId="0" fontId="4" fillId="60" borderId="672" xfId="0" applyFont="1" applyFill="1" applyBorder="1" applyAlignment="1" applyProtection="1">
      <alignment horizontal="left"/>
      <protection locked="0"/>
    </xf>
    <xf numFmtId="0" fontId="4" fillId="33" borderId="624" xfId="0" applyFont="1" applyFill="1" applyBorder="1" applyAlignment="1" applyProtection="1">
      <alignment horizontal="left"/>
      <protection locked="0"/>
    </xf>
    <xf numFmtId="0" fontId="4" fillId="33" borderId="663" xfId="0" applyFont="1" applyFill="1" applyBorder="1" applyAlignment="1" applyProtection="1">
      <alignment horizontal="left"/>
      <protection locked="0"/>
    </xf>
    <xf numFmtId="0" fontId="67" fillId="10" borderId="74" xfId="0" applyFont="1" applyFill="1" applyBorder="1" applyAlignment="1">
      <alignment horizontal="left" wrapText="1"/>
    </xf>
    <xf numFmtId="0" fontId="67" fillId="10" borderId="0" xfId="0" applyFont="1" applyFill="1" applyAlignment="1">
      <alignment horizontal="left" wrapText="1"/>
    </xf>
    <xf numFmtId="3" fontId="137" fillId="15" borderId="392" xfId="0" applyNumberFormat="1" applyFont="1" applyFill="1" applyBorder="1" applyAlignment="1">
      <alignment horizontal="center"/>
    </xf>
    <xf numFmtId="3" fontId="137" fillId="15" borderId="470" xfId="0" applyNumberFormat="1" applyFont="1" applyFill="1" applyBorder="1" applyAlignment="1">
      <alignment horizontal="center"/>
    </xf>
    <xf numFmtId="3" fontId="104" fillId="33" borderId="495" xfId="15" applyFont="1" applyFill="1" applyBorder="1" applyAlignment="1" applyProtection="1">
      <alignment horizontal="center"/>
      <protection locked="0"/>
    </xf>
    <xf numFmtId="3" fontId="73" fillId="10" borderId="480" xfId="15" applyFont="1" applyFill="1" applyBorder="1" applyAlignment="1" applyProtection="1">
      <alignment horizontal="center"/>
    </xf>
    <xf numFmtId="3" fontId="73" fillId="10" borderId="247" xfId="15" applyFont="1" applyFill="1" applyBorder="1" applyAlignment="1" applyProtection="1">
      <alignment horizontal="center"/>
    </xf>
    <xf numFmtId="0" fontId="4" fillId="27" borderId="95" xfId="0" applyFont="1" applyFill="1" applyBorder="1" applyAlignment="1">
      <alignment horizontal="left"/>
    </xf>
    <xf numFmtId="0" fontId="4" fillId="27" borderId="128" xfId="0" applyFont="1" applyFill="1" applyBorder="1" applyAlignment="1">
      <alignment horizontal="left"/>
    </xf>
    <xf numFmtId="0" fontId="38" fillId="7" borderId="655" xfId="0" applyFont="1" applyFill="1" applyBorder="1" applyAlignment="1">
      <alignment horizontal="left"/>
    </xf>
    <xf numFmtId="0" fontId="38" fillId="7" borderId="668" xfId="0" applyFont="1" applyFill="1" applyBorder="1" applyAlignment="1">
      <alignment horizontal="left"/>
    </xf>
    <xf numFmtId="0" fontId="67" fillId="10" borderId="655" xfId="0" applyFont="1" applyFill="1" applyBorder="1" applyAlignment="1">
      <alignment horizontal="left" wrapText="1"/>
    </xf>
    <xf numFmtId="0" fontId="67" fillId="10" borderId="671" xfId="0" applyFont="1" applyFill="1" applyBorder="1" applyAlignment="1">
      <alignment horizontal="left" wrapText="1"/>
    </xf>
    <xf numFmtId="0" fontId="4" fillId="33" borderId="581" xfId="0" applyFont="1" applyFill="1" applyBorder="1" applyAlignment="1" applyProtection="1">
      <alignment horizontal="left"/>
      <protection locked="0"/>
    </xf>
    <xf numFmtId="0" fontId="4" fillId="33" borderId="582" xfId="0" applyFont="1" applyFill="1" applyBorder="1" applyAlignment="1" applyProtection="1">
      <alignment horizontal="left"/>
      <protection locked="0"/>
    </xf>
    <xf numFmtId="0" fontId="4" fillId="60" borderId="381" xfId="0" applyFont="1" applyFill="1" applyBorder="1" applyAlignment="1" applyProtection="1">
      <alignment horizontal="left"/>
      <protection locked="0"/>
    </xf>
    <xf numFmtId="0" fontId="4" fillId="60" borderId="346" xfId="0" applyFont="1" applyFill="1" applyBorder="1" applyAlignment="1" applyProtection="1">
      <alignment horizontal="left"/>
      <protection locked="0"/>
    </xf>
    <xf numFmtId="0" fontId="4" fillId="60" borderId="655" xfId="0" applyFont="1" applyFill="1" applyBorder="1" applyAlignment="1" applyProtection="1">
      <alignment horizontal="left"/>
      <protection locked="0"/>
    </xf>
    <xf numFmtId="0" fontId="4" fillId="60" borderId="675" xfId="0" applyFont="1" applyFill="1" applyBorder="1" applyAlignment="1" applyProtection="1">
      <alignment horizontal="left"/>
      <protection locked="0"/>
    </xf>
    <xf numFmtId="0" fontId="38" fillId="7" borderId="675" xfId="0" applyFont="1" applyFill="1" applyBorder="1" applyAlignment="1">
      <alignment horizontal="left"/>
    </xf>
    <xf numFmtId="0" fontId="38" fillId="7" borderId="665" xfId="0" applyFont="1" applyFill="1" applyBorder="1" applyAlignment="1">
      <alignment horizontal="left"/>
    </xf>
    <xf numFmtId="0" fontId="38" fillId="7" borderId="666" xfId="0" applyFont="1" applyFill="1" applyBorder="1" applyAlignment="1">
      <alignment horizontal="left"/>
    </xf>
    <xf numFmtId="3" fontId="143" fillId="77" borderId="669" xfId="0" applyNumberFormat="1" applyFont="1" applyFill="1" applyBorder="1" applyAlignment="1" applyProtection="1">
      <alignment horizontal="center"/>
      <protection locked="0"/>
    </xf>
    <xf numFmtId="3" fontId="67" fillId="76" borderId="509" xfId="0" applyNumberFormat="1" applyFont="1" applyFill="1" applyBorder="1" applyAlignment="1">
      <alignment horizontal="center"/>
    </xf>
    <xf numFmtId="0" fontId="67" fillId="76" borderId="509" xfId="0" applyFont="1" applyFill="1" applyBorder="1" applyAlignment="1">
      <alignment horizontal="center"/>
    </xf>
    <xf numFmtId="0" fontId="67" fillId="76" borderId="610" xfId="0" applyFont="1" applyFill="1" applyBorder="1" applyAlignment="1">
      <alignment horizontal="center"/>
    </xf>
    <xf numFmtId="3" fontId="137" fillId="15" borderId="763" xfId="0" applyNumberFormat="1" applyFont="1" applyFill="1" applyBorder="1" applyAlignment="1">
      <alignment horizontal="center"/>
    </xf>
    <xf numFmtId="3" fontId="137" fillId="15" borderId="788" xfId="0" applyNumberFormat="1" applyFont="1" applyFill="1" applyBorder="1" applyAlignment="1">
      <alignment horizontal="center"/>
    </xf>
    <xf numFmtId="3" fontId="137" fillId="15" borderId="789" xfId="0" applyNumberFormat="1" applyFont="1" applyFill="1" applyBorder="1" applyAlignment="1">
      <alignment horizontal="center"/>
    </xf>
    <xf numFmtId="0" fontId="171" fillId="11" borderId="652" xfId="0" applyFont="1" applyFill="1" applyBorder="1" applyAlignment="1">
      <alignment horizontal="center" wrapText="1"/>
    </xf>
    <xf numFmtId="0" fontId="171" fillId="11" borderId="762" xfId="0" applyFont="1" applyFill="1" applyBorder="1" applyAlignment="1">
      <alignment horizontal="center" wrapText="1"/>
    </xf>
    <xf numFmtId="0" fontId="171" fillId="11" borderId="593" xfId="0" applyFont="1" applyFill="1" applyBorder="1" applyAlignment="1">
      <alignment horizontal="center" wrapText="1"/>
    </xf>
    <xf numFmtId="3" fontId="143" fillId="27" borderId="765" xfId="0" applyNumberFormat="1" applyFont="1" applyFill="1" applyBorder="1" applyAlignment="1">
      <alignment horizontal="center"/>
    </xf>
    <xf numFmtId="3" fontId="143" fillId="27" borderId="766" xfId="0" applyNumberFormat="1" applyFont="1" applyFill="1" applyBorder="1" applyAlignment="1">
      <alignment horizontal="center"/>
    </xf>
    <xf numFmtId="3" fontId="143" fillId="27" borderId="767" xfId="0" applyNumberFormat="1" applyFont="1" applyFill="1" applyBorder="1" applyAlignment="1">
      <alignment horizontal="center"/>
    </xf>
    <xf numFmtId="0" fontId="38" fillId="11" borderId="652" xfId="0" applyFont="1" applyFill="1" applyBorder="1" applyAlignment="1">
      <alignment horizontal="center"/>
    </xf>
    <xf numFmtId="0" fontId="38" fillId="11" borderId="596" xfId="0" applyFont="1" applyFill="1" applyBorder="1" applyAlignment="1">
      <alignment horizontal="center"/>
    </xf>
    <xf numFmtId="0" fontId="38" fillId="11" borderId="762" xfId="0" applyFont="1" applyFill="1" applyBorder="1" applyAlignment="1">
      <alignment horizontal="center"/>
    </xf>
    <xf numFmtId="10" fontId="67" fillId="10" borderId="352" xfId="0" applyNumberFormat="1" applyFont="1" applyFill="1" applyBorder="1" applyAlignment="1">
      <alignment horizontal="center" wrapText="1"/>
    </xf>
    <xf numFmtId="10" fontId="67" fillId="10" borderId="356" xfId="0" applyNumberFormat="1" applyFont="1" applyFill="1" applyBorder="1" applyAlignment="1">
      <alignment horizontal="center" wrapText="1"/>
    </xf>
    <xf numFmtId="3" fontId="73" fillId="10" borderId="353" xfId="1" applyNumberFormat="1" applyFont="1" applyFill="1" applyBorder="1" applyAlignment="1" applyProtection="1">
      <alignment horizontal="right"/>
    </xf>
    <xf numFmtId="3" fontId="73" fillId="10" borderId="357" xfId="1" applyNumberFormat="1" applyFont="1" applyFill="1" applyBorder="1" applyAlignment="1" applyProtection="1">
      <alignment horizontal="right"/>
    </xf>
    <xf numFmtId="0" fontId="29" fillId="0" borderId="358" xfId="0" applyFont="1" applyBorder="1" applyAlignment="1">
      <alignment horizontal="center" wrapText="1"/>
    </xf>
    <xf numFmtId="0" fontId="29" fillId="0" borderId="359" xfId="0" applyFont="1" applyBorder="1" applyAlignment="1">
      <alignment horizontal="center" wrapText="1"/>
    </xf>
    <xf numFmtId="0" fontId="29" fillId="0" borderId="713" xfId="0" applyFont="1" applyBorder="1" applyAlignment="1">
      <alignment horizontal="center"/>
    </xf>
    <xf numFmtId="0" fontId="29" fillId="0" borderId="714" xfId="0" applyFont="1" applyBorder="1" applyAlignment="1">
      <alignment horizontal="center"/>
    </xf>
    <xf numFmtId="0" fontId="67" fillId="18" borderId="29" xfId="0" applyFont="1" applyFill="1" applyBorder="1" applyAlignment="1">
      <alignment horizontal="left" wrapText="1"/>
    </xf>
    <xf numFmtId="0" fontId="67" fillId="18" borderId="43" xfId="0" applyFont="1" applyFill="1" applyBorder="1" applyAlignment="1">
      <alignment horizontal="left" wrapText="1"/>
    </xf>
    <xf numFmtId="0" fontId="67" fillId="18" borderId="360" xfId="0" applyFont="1" applyFill="1" applyBorder="1" applyAlignment="1">
      <alignment horizontal="left" wrapText="1"/>
    </xf>
    <xf numFmtId="0" fontId="29" fillId="0" borderId="713" xfId="0" applyFont="1" applyBorder="1" applyAlignment="1">
      <alignment horizontal="center" wrapText="1"/>
    </xf>
    <xf numFmtId="0" fontId="29" fillId="0" borderId="714" xfId="0" applyFont="1" applyBorder="1" applyAlignment="1">
      <alignment horizontal="center" wrapText="1"/>
    </xf>
    <xf numFmtId="0" fontId="73" fillId="10" borderId="132" xfId="0" applyFont="1" applyFill="1" applyBorder="1" applyAlignment="1">
      <alignment horizontal="left" wrapText="1"/>
    </xf>
    <xf numFmtId="0" fontId="73" fillId="10" borderId="320" xfId="0" applyFont="1" applyFill="1" applyBorder="1" applyAlignment="1">
      <alignment horizontal="left" wrapText="1"/>
    </xf>
    <xf numFmtId="3" fontId="73" fillId="10" borderId="133" xfId="1" applyNumberFormat="1" applyFont="1" applyFill="1" applyBorder="1" applyAlignment="1" applyProtection="1">
      <alignment horizontal="right" wrapText="1"/>
    </xf>
    <xf numFmtId="3" fontId="73" fillId="10" borderId="361" xfId="1" applyNumberFormat="1" applyFont="1" applyFill="1" applyBorder="1" applyAlignment="1" applyProtection="1">
      <alignment horizontal="right" wrapText="1"/>
    </xf>
    <xf numFmtId="0" fontId="29" fillId="0" borderId="719" xfId="0" applyFont="1" applyBorder="1" applyAlignment="1">
      <alignment horizontal="center"/>
    </xf>
    <xf numFmtId="0" fontId="29" fillId="0" borderId="720" xfId="0" applyFont="1" applyBorder="1" applyAlignment="1">
      <alignment horizontal="center"/>
    </xf>
    <xf numFmtId="0" fontId="29" fillId="0" borderId="226" xfId="0" applyFont="1" applyBorder="1" applyAlignment="1">
      <alignment horizontal="center" wrapText="1"/>
    </xf>
    <xf numFmtId="0" fontId="29" fillId="0" borderId="135" xfId="0" applyFont="1" applyBorder="1" applyAlignment="1">
      <alignment horizontal="center" wrapText="1"/>
    </xf>
    <xf numFmtId="0" fontId="73" fillId="10" borderId="132" xfId="0" applyFont="1" applyFill="1" applyBorder="1" applyAlignment="1">
      <alignment horizontal="center" wrapText="1"/>
    </xf>
    <xf numFmtId="0" fontId="73" fillId="10" borderId="320" xfId="0" applyFont="1" applyFill="1" applyBorder="1" applyAlignment="1">
      <alignment horizontal="center" wrapText="1"/>
    </xf>
    <xf numFmtId="0" fontId="38" fillId="0" borderId="358" xfId="0" applyFont="1" applyBorder="1" applyAlignment="1">
      <alignment horizontal="center" wrapText="1"/>
    </xf>
    <xf numFmtId="0" fontId="38" fillId="0" borderId="359" xfId="0" applyFont="1" applyBorder="1" applyAlignment="1">
      <alignment horizontal="center" wrapText="1"/>
    </xf>
    <xf numFmtId="0" fontId="67" fillId="10" borderId="246" xfId="0" applyFont="1" applyFill="1" applyBorder="1"/>
    <xf numFmtId="0" fontId="67" fillId="10" borderId="247" xfId="0" applyFont="1" applyFill="1" applyBorder="1"/>
    <xf numFmtId="0" fontId="38" fillId="0" borderId="231" xfId="0" applyFont="1" applyBorder="1" applyAlignment="1">
      <alignment horizontal="center"/>
    </xf>
    <xf numFmtId="3" fontId="100" fillId="7" borderId="883" xfId="46" applyNumberFormat="1" applyFont="1" applyFill="1" applyBorder="1" applyAlignment="1"/>
    <xf numFmtId="3" fontId="100" fillId="7" borderId="882" xfId="46" applyNumberFormat="1" applyFont="1" applyFill="1" applyBorder="1" applyAlignment="1"/>
    <xf numFmtId="3" fontId="100" fillId="7" borderId="825" xfId="46" applyNumberFormat="1" applyFont="1" applyFill="1" applyBorder="1" applyAlignment="1"/>
    <xf numFmtId="3" fontId="100" fillId="7" borderId="827" xfId="46" applyNumberFormat="1" applyFont="1" applyFill="1" applyBorder="1" applyAlignment="1"/>
  </cellXfs>
  <cellStyles count="201">
    <cellStyle name="1000-sep (2 dec) 2" xfId="74" xr:uid="{00000000-0005-0000-0000-000001000000}"/>
    <cellStyle name="1000-sep_KD-lån" xfId="3" xr:uid="{00000000-0005-0000-0000-000003000000}"/>
    <cellStyle name="1000-sep+,00_aktuel-aar" xfId="4" xr:uid="{00000000-0005-0000-0000-000004000000}"/>
    <cellStyle name="12" xfId="5" xr:uid="{00000000-0005-0000-0000-000005000000}"/>
    <cellStyle name="14" xfId="6" xr:uid="{00000000-0005-0000-0000-000006000000}"/>
    <cellStyle name="9" xfId="7" xr:uid="{00000000-0005-0000-0000-000007000000}"/>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4" builtinId="9" hidden="1"/>
    <cellStyle name="Besøgt link" xfId="115" builtinId="9" hidden="1"/>
    <cellStyle name="Besøgt link" xfId="116" builtinId="9" hidden="1"/>
    <cellStyle name="Besøgt link" xfId="117" builtinId="9" hidden="1"/>
    <cellStyle name="Besøgt link" xfId="118" builtinId="9" hidden="1"/>
    <cellStyle name="Besøgt link" xfId="119" builtinId="9" hidden="1"/>
    <cellStyle name="Besøgt link" xfId="120" builtinId="9" hidden="1"/>
    <cellStyle name="Besøgt link" xfId="121" builtinId="9" hidden="1"/>
    <cellStyle name="Besøgt link" xfId="122" builtinId="9" hidden="1"/>
    <cellStyle name="Besøgt link" xfId="123" builtinId="9" hidden="1"/>
    <cellStyle name="Besøgt link" xfId="124" builtinId="9" hidden="1"/>
    <cellStyle name="Besøgt link" xfId="125" builtinId="9" hidden="1"/>
    <cellStyle name="Besøgt link" xfId="126" builtinId="9" hidden="1"/>
    <cellStyle name="Besøgt link" xfId="127" builtinId="9" hidden="1"/>
    <cellStyle name="Besøgt link" xfId="128" builtinId="9" hidden="1"/>
    <cellStyle name="Besøgt link" xfId="129" builtinId="9" hidden="1"/>
    <cellStyle name="Besøgt link" xfId="130" builtinId="9" hidden="1"/>
    <cellStyle name="Besøgt link" xfId="131" builtinId="9" hidden="1"/>
    <cellStyle name="Besøgt link" xfId="132" builtinId="9" hidden="1"/>
    <cellStyle name="Besøgt link" xfId="133" builtinId="9" hidden="1"/>
    <cellStyle name="Besøgt link" xfId="134" builtinId="9" hidden="1"/>
    <cellStyle name="Besøgt link" xfId="135" builtinId="9" hidden="1"/>
    <cellStyle name="Besøgt link" xfId="136" builtinId="9" hidden="1"/>
    <cellStyle name="Besøgt link" xfId="137" builtinId="9" hidden="1"/>
    <cellStyle name="Besøgt link" xfId="138" builtinId="9" hidden="1"/>
    <cellStyle name="Besøgt link" xfId="139" builtinId="9" hidden="1"/>
    <cellStyle name="Besøgt link" xfId="140" builtinId="9" hidden="1"/>
    <cellStyle name="Besøgt link" xfId="141" builtinId="9" hidden="1"/>
    <cellStyle name="Besøgt link" xfId="142" builtinId="9" hidden="1"/>
    <cellStyle name="Besøgt link" xfId="143" builtinId="9" hidden="1"/>
    <cellStyle name="Besøgt link" xfId="144" builtinId="9" hidden="1"/>
    <cellStyle name="Besøgt link" xfId="145" builtinId="9" hidden="1"/>
    <cellStyle name="Besøgt link" xfId="146" builtinId="9" hidden="1"/>
    <cellStyle name="Besøgt link" xfId="147" builtinId="9" hidden="1"/>
    <cellStyle name="Besøgt link" xfId="148" builtinId="9" hidden="1"/>
    <cellStyle name="Besøgt link" xfId="149" builtinId="9" hidden="1"/>
    <cellStyle name="Besøgt link" xfId="150" builtinId="9" hidden="1"/>
    <cellStyle name="Besøgt link" xfId="151" builtinId="9" hidden="1"/>
    <cellStyle name="Besøgt link" xfId="152" builtinId="9" hidden="1"/>
    <cellStyle name="Besøgt link" xfId="153" builtinId="9" hidden="1"/>
    <cellStyle name="Besøgt link" xfId="154" builtinId="9" hidden="1"/>
    <cellStyle name="Besøgt link" xfId="155" builtinId="9" hidden="1"/>
    <cellStyle name="Besøgt link" xfId="156" builtinId="9" hidden="1"/>
    <cellStyle name="Besøgt link" xfId="157" builtinId="9" hidden="1"/>
    <cellStyle name="Besøgt link" xfId="158" builtinId="9" hidden="1"/>
    <cellStyle name="Besøgt link" xfId="159" builtinId="9" hidden="1"/>
    <cellStyle name="Besøgt link" xfId="160" builtinId="9" hidden="1"/>
    <cellStyle name="Besøgt link" xfId="161" builtinId="9" hidden="1"/>
    <cellStyle name="Besøgt link" xfId="162" builtinId="9" hidden="1"/>
    <cellStyle name="Besøgt link" xfId="163" builtinId="9" hidden="1"/>
    <cellStyle name="Besøgt link" xfId="164" builtinId="9" hidden="1"/>
    <cellStyle name="Besøgt link" xfId="165" builtinId="9" hidden="1"/>
    <cellStyle name="Besøgt link" xfId="166" builtinId="9" hidden="1"/>
    <cellStyle name="Besøgt link" xfId="167" builtinId="9" hidden="1"/>
    <cellStyle name="Besøgt link" xfId="168" builtinId="9" hidden="1"/>
    <cellStyle name="Besøgt link" xfId="169" builtinId="9" hidden="1"/>
    <cellStyle name="Besøgt link" xfId="170" builtinId="9" hidden="1"/>
    <cellStyle name="Besøgt link" xfId="171" builtinId="9" hidden="1"/>
    <cellStyle name="Besøgt link" xfId="172" builtinId="9" hidden="1"/>
    <cellStyle name="Besøgt link" xfId="173" builtinId="9" hidden="1"/>
    <cellStyle name="Besøgt link" xfId="175" builtinId="9" hidden="1"/>
    <cellStyle name="Besøgt link" xfId="176" builtinId="9" hidden="1"/>
    <cellStyle name="Besøgt link" xfId="177" builtinId="9" hidden="1"/>
    <cellStyle name="Besøgt link" xfId="178" builtinId="9" hidden="1"/>
    <cellStyle name="Besøgt link" xfId="179" builtinId="9" hidden="1"/>
    <cellStyle name="Besøgt link" xfId="180" builtinId="9" hidden="1"/>
    <cellStyle name="Besøgt link" xfId="181" builtinId="9" hidden="1"/>
    <cellStyle name="Besøgt link" xfId="184" builtinId="9" hidden="1"/>
    <cellStyle name="Besøgt link" xfId="185" builtinId="9" hidden="1"/>
    <cellStyle name="Besøgt link" xfId="186" builtinId="9" hidden="1"/>
    <cellStyle name="Besøgt link" xfId="187" builtinId="9" hidden="1"/>
    <cellStyle name="Besøgt link" xfId="188" builtinId="9" hidden="1"/>
    <cellStyle name="Besøgt link" xfId="189" builtinId="9" hidden="1"/>
    <cellStyle name="Besøgt link" xfId="190" builtinId="9" hidden="1"/>
    <cellStyle name="Besøgt link" xfId="191" builtinId="9" hidden="1"/>
    <cellStyle name="Besøgt link" xfId="192" builtinId="9" hidden="1"/>
    <cellStyle name="Besøgt link" xfId="193" builtinId="9" hidden="1"/>
    <cellStyle name="Besøgt link" xfId="194" builtinId="9" hidden="1"/>
    <cellStyle name="Besøgt link" xfId="195" builtinId="9" hidden="1"/>
    <cellStyle name="Besøgt link" xfId="196" builtinId="9" hidden="1"/>
    <cellStyle name="Besøgt link" xfId="197" builtinId="9" hidden="1"/>
    <cellStyle name="Besøgt link" xfId="198" builtinId="9" hidden="1"/>
    <cellStyle name="Besøgt link" xfId="199" builtinId="9" hidden="1"/>
    <cellStyle name="Besøgt link" xfId="200" builtinId="9" hidden="1"/>
    <cellStyle name="Chicago" xfId="8" xr:uid="{00000000-0005-0000-0000-00009E000000}"/>
    <cellStyle name="Comma [0]_DelAktPl.xls" xfId="49" xr:uid="{00000000-0005-0000-0000-00009F000000}"/>
    <cellStyle name="Comma_DelAktPl.xls" xfId="9" xr:uid="{00000000-0005-0000-0000-0000A0000000}"/>
    <cellStyle name="Comma_Lon.xls1" xfId="46" xr:uid="{00000000-0005-0000-0000-0000A1000000}"/>
    <cellStyle name="Comma_Lon.xls1 2" xfId="110" xr:uid="{00000000-0005-0000-0000-0000A2000000}"/>
    <cellStyle name="courier" xfId="10" xr:uid="{00000000-0005-0000-0000-0000A3000000}"/>
    <cellStyle name="courier_031SKPE.XLS" xfId="11" xr:uid="{00000000-0005-0000-0000-0000A4000000}"/>
    <cellStyle name="Currency [0]_5Straat2003.xls" xfId="12" xr:uid="{00000000-0005-0000-0000-0000A5000000}"/>
    <cellStyle name="Currency_DelAktPl.xls" xfId="50" xr:uid="{00000000-0005-0000-0000-0000A6000000}"/>
    <cellStyle name="Followed Hyperlink" xfId="13" xr:uid="{00000000-0005-0000-0000-0000A7000000}"/>
    <cellStyle name="Komma" xfId="1" builtinId="3"/>
    <cellStyle name="Komma [0]" xfId="2" builtinId="6"/>
    <cellStyle name="Komma 2" xfId="183" xr:uid="{00000000-0005-0000-0000-0000A9000000}"/>
    <cellStyle name="komma0" xfId="15" xr:uid="{00000000-0005-0000-0000-0000AA000000}"/>
    <cellStyle name="komma0 2" xfId="48" xr:uid="{00000000-0005-0000-0000-0000AB000000}"/>
    <cellStyle name="komma0 3" xfId="72" xr:uid="{00000000-0005-0000-0000-0000AC000000}"/>
    <cellStyle name="komma1" xfId="16" xr:uid="{00000000-0005-0000-0000-0000AD000000}"/>
    <cellStyle name="komma2" xfId="17" xr:uid="{00000000-0005-0000-0000-0000AE000000}"/>
    <cellStyle name="komma2 2" xfId="76" xr:uid="{00000000-0005-0000-0000-0000AF000000}"/>
    <cellStyle name="komma4" xfId="18" xr:uid="{00000000-0005-0000-0000-0000B0000000}"/>
    <cellStyle name="kr" xfId="19" xr:uid="{00000000-0005-0000-0000-0000B1000000}"/>
    <cellStyle name="Link" xfId="14" builtinId="8"/>
    <cellStyle name="Normal" xfId="0" builtinId="0"/>
    <cellStyle name="Normal 2" xfId="44" xr:uid="{00000000-0005-0000-0000-0000B3000000}"/>
    <cellStyle name="Normal 2 2" xfId="113" xr:uid="{00000000-0005-0000-0000-0000B4000000}"/>
    <cellStyle name="Normal 3" xfId="58" xr:uid="{00000000-0005-0000-0000-0000B5000000}"/>
    <cellStyle name="Normal 4" xfId="90" xr:uid="{00000000-0005-0000-0000-0000B6000000}"/>
    <cellStyle name="Normal 5" xfId="112" xr:uid="{00000000-0005-0000-0000-0000B7000000}"/>
    <cellStyle name="Normal 6" xfId="182" xr:uid="{00000000-0005-0000-0000-0000B8000000}"/>
    <cellStyle name="Normal_KD-lån" xfId="20" xr:uid="{00000000-0005-0000-0000-0000B9000000}"/>
    <cellStyle name="Normal_Lon.xls1" xfId="45" xr:uid="{00000000-0005-0000-0000-0000BA000000}"/>
    <cellStyle name="Normal_LonAug00.xls 2" xfId="59" xr:uid="{00000000-0005-0000-0000-0000BB000000}"/>
    <cellStyle name="Normal_NYRen2003bud15" xfId="21" xr:uid="{00000000-0005-0000-0000-0000BC000000}"/>
    <cellStyle name="Normal_t-tabel" xfId="22" xr:uid="{00000000-0005-0000-0000-0000BD000000}"/>
    <cellStyle name="prc0" xfId="23" xr:uid="{00000000-0005-0000-0000-0000BE000000}"/>
    <cellStyle name="prc0 2" xfId="73" xr:uid="{00000000-0005-0000-0000-0000BF000000}"/>
    <cellStyle name="prc1" xfId="24" xr:uid="{00000000-0005-0000-0000-0000C0000000}"/>
    <cellStyle name="prc2" xfId="25" xr:uid="{00000000-0005-0000-0000-0000C1000000}"/>
    <cellStyle name="Procent" xfId="26" builtinId="5"/>
    <cellStyle name="Procent 2" xfId="47" xr:uid="{00000000-0005-0000-0000-0000C3000000}"/>
    <cellStyle name="Procent 3" xfId="75" xr:uid="{00000000-0005-0000-0000-0000C4000000}"/>
    <cellStyle name="Procent 4" xfId="111" xr:uid="{00000000-0005-0000-0000-0000C5000000}"/>
    <cellStyle name="skkode" xfId="27" xr:uid="{00000000-0005-0000-0000-0000C6000000}"/>
    <cellStyle name="skygget" xfId="28" xr:uid="{00000000-0005-0000-0000-0000C7000000}"/>
    <cellStyle name="Valuta" xfId="174" builtinId="4"/>
  </cellStyles>
  <dxfs count="5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BBE"/>
      <color rgb="FFFFFF00"/>
      <color rgb="FF346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microsoft.com/office/2017/06/relationships/rdRichValueTypes" Target="richData/rdRichValueTypes.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microsoft.com/office/2017/06/relationships/rdRichValue" Target="richData/rdrichvalue.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onnections" Target="connections.xml"/><Relationship Id="rId38" Type="http://schemas.microsoft.com/office/2017/06/relationships/rdRichValueStructure" Target="richData/rdrichvaluestructure.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59338471839602E-2"/>
          <c:y val="8.4070978098594429E-2"/>
          <c:w val="0.91313582937876303"/>
          <c:h val="0.78761232113419799"/>
        </c:manualLayout>
      </c:layout>
      <c:lineChart>
        <c:grouping val="standard"/>
        <c:varyColors val="0"/>
        <c:ser>
          <c:idx val="0"/>
          <c:order val="0"/>
          <c:tx>
            <c:strRef>
              <c:f>Prognose!$A$9</c:f>
              <c:strCache>
                <c:ptCount val="1"/>
                <c:pt idx="0">
                  <c:v>Elevtal</c:v>
                </c:pt>
              </c:strCache>
            </c:strRef>
          </c:tx>
          <c:spPr>
            <a:ln w="12700">
              <a:solidFill>
                <a:srgbClr val="900000"/>
              </a:solidFill>
              <a:prstDash val="solid"/>
            </a:ln>
          </c:spPr>
          <c:marker>
            <c:symbol val="x"/>
            <c:size val="6"/>
            <c:spPr>
              <a:noFill/>
              <a:ln>
                <a:solidFill>
                  <a:srgbClr val="800000"/>
                </a:solidFill>
                <a:prstDash val="solid"/>
              </a:ln>
            </c:spPr>
          </c:marker>
          <c:cat>
            <c:numRef>
              <c:f>Prognose!$B$4:$E$4</c:f>
              <c:numCache>
                <c:formatCode>General</c:formatCode>
                <c:ptCount val="4"/>
                <c:pt idx="0">
                  <c:v>2022</c:v>
                </c:pt>
                <c:pt idx="1">
                  <c:v>2023</c:v>
                </c:pt>
                <c:pt idx="2">
                  <c:v>2024</c:v>
                </c:pt>
                <c:pt idx="3">
                  <c:v>2025</c:v>
                </c:pt>
              </c:numCache>
            </c:numRef>
          </c:cat>
          <c:val>
            <c:numRef>
              <c:f>Prognose!$B$9:$E$9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47AE-4A41-8143-430C4D95D1B1}"/>
            </c:ext>
          </c:extLst>
        </c:ser>
        <c:ser>
          <c:idx val="1"/>
          <c:order val="1"/>
          <c:tx>
            <c:strRef>
              <c:f>Prognose!$A$10</c:f>
              <c:strCache>
                <c:ptCount val="1"/>
                <c:pt idx="0">
                  <c:v>SFO</c:v>
                </c:pt>
              </c:strCache>
            </c:strRef>
          </c:tx>
          <c:spPr>
            <a:ln w="12700">
              <a:solidFill>
                <a:srgbClr val="F20884"/>
              </a:solidFill>
              <a:prstDash val="solid"/>
            </a:ln>
          </c:spPr>
          <c:marker>
            <c:symbol val="none"/>
          </c:marker>
          <c:cat>
            <c:numRef>
              <c:f>Prognose!$B$4:$E$4</c:f>
              <c:numCache>
                <c:formatCode>General</c:formatCode>
                <c:ptCount val="4"/>
                <c:pt idx="0">
                  <c:v>2022</c:v>
                </c:pt>
                <c:pt idx="1">
                  <c:v>2023</c:v>
                </c:pt>
                <c:pt idx="2">
                  <c:v>2024</c:v>
                </c:pt>
                <c:pt idx="3">
                  <c:v>2025</c:v>
                </c:pt>
              </c:numCache>
            </c:numRef>
          </c:cat>
          <c:val>
            <c:numRef>
              <c:f>Prognose!$B$10:$E$10</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47AE-4A41-8143-430C4D95D1B1}"/>
            </c:ext>
          </c:extLst>
        </c:ser>
        <c:dLbls>
          <c:showLegendKey val="0"/>
          <c:showVal val="0"/>
          <c:showCatName val="0"/>
          <c:showSerName val="0"/>
          <c:showPercent val="0"/>
          <c:showBubbleSize val="0"/>
        </c:dLbls>
        <c:marker val="1"/>
        <c:smooth val="0"/>
        <c:axId val="180661248"/>
        <c:axId val="180663040"/>
      </c:lineChart>
      <c:catAx>
        <c:axId val="18066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da-DK"/>
          </a:p>
        </c:txPr>
        <c:crossAx val="180663040"/>
        <c:crosses val="autoZero"/>
        <c:auto val="1"/>
        <c:lblAlgn val="ctr"/>
        <c:lblOffset val="100"/>
        <c:tickLblSkip val="1"/>
        <c:tickMarkSkip val="1"/>
        <c:noMultiLvlLbl val="0"/>
      </c:catAx>
      <c:valAx>
        <c:axId val="1806630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da-DK"/>
          </a:p>
        </c:txPr>
        <c:crossAx val="180661248"/>
        <c:crosses val="autoZero"/>
        <c:crossBetween val="between"/>
      </c:valAx>
      <c:spPr>
        <a:solidFill>
          <a:srgbClr val="C0C0C0"/>
        </a:solidFill>
        <a:ln w="12700">
          <a:solidFill>
            <a:srgbClr val="808080"/>
          </a:solidFill>
          <a:prstDash val="solid"/>
        </a:ln>
      </c:spPr>
    </c:plotArea>
    <c:legend>
      <c:legendPos val="r"/>
      <c:layout>
        <c:manualLayout>
          <c:xMode val="edge"/>
          <c:yMode val="edge"/>
          <c:x val="0.57664233576642299"/>
          <c:y val="0.34472101962984714"/>
          <c:w val="0.226277372262774"/>
          <c:h val="5.279511111448091E-2"/>
        </c:manualLayout>
      </c:layout>
      <c:overlay val="0"/>
      <c:spPr>
        <a:solidFill>
          <a:srgbClr val="FFFFFF"/>
        </a:solidFill>
        <a:ln w="3175">
          <a:solidFill>
            <a:srgbClr val="000000"/>
          </a:solidFill>
          <a:prstDash val="solid"/>
        </a:ln>
      </c:spPr>
      <c:txPr>
        <a:bodyPr/>
        <a:lstStyle/>
        <a:p>
          <a:pPr>
            <a:defRPr sz="535" b="0" i="0" u="none" strike="noStrike" baseline="0">
              <a:solidFill>
                <a:srgbClr val="000000"/>
              </a:solidFill>
              <a:latin typeface="Geneva"/>
              <a:ea typeface="Geneva"/>
              <a:cs typeface="Geneva"/>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000000000000211" r="0.75000000000000211" t="1" header="0.51180555555555807" footer="0.51180555555555807"/>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2992868151201"/>
          <c:y val="7.1428669766767386E-2"/>
          <c:w val="0.86105994475372405"/>
          <c:h val="0.81579059680992205"/>
        </c:manualLayout>
      </c:layout>
      <c:lineChart>
        <c:grouping val="standard"/>
        <c:varyColors val="0"/>
        <c:ser>
          <c:idx val="0"/>
          <c:order val="0"/>
          <c:tx>
            <c:strRef>
              <c:f>Prognose!$A$5</c:f>
              <c:strCache>
                <c:ptCount val="1"/>
                <c:pt idx="0">
                  <c:v>Indtægter</c:v>
                </c:pt>
              </c:strCache>
            </c:strRef>
          </c:tx>
          <c:spPr>
            <a:ln w="12700">
              <a:solidFill>
                <a:srgbClr val="000090"/>
              </a:solidFill>
              <a:prstDash val="solid"/>
            </a:ln>
          </c:spPr>
          <c:marker>
            <c:symbol val="triangle"/>
            <c:size val="6"/>
            <c:spPr>
              <a:solidFill>
                <a:srgbClr val="000080"/>
              </a:solidFill>
              <a:ln>
                <a:solidFill>
                  <a:srgbClr val="000090"/>
                </a:solidFill>
                <a:prstDash val="solid"/>
              </a:ln>
            </c:spPr>
          </c:marker>
          <c:cat>
            <c:numRef>
              <c:f>Prognose!$B$4:$E$4</c:f>
              <c:numCache>
                <c:formatCode>General</c:formatCode>
                <c:ptCount val="4"/>
                <c:pt idx="0">
                  <c:v>2022</c:v>
                </c:pt>
                <c:pt idx="1">
                  <c:v>2023</c:v>
                </c:pt>
                <c:pt idx="2">
                  <c:v>2024</c:v>
                </c:pt>
                <c:pt idx="3">
                  <c:v>2025</c:v>
                </c:pt>
              </c:numCache>
            </c:numRef>
          </c:cat>
          <c:val>
            <c:numRef>
              <c:f>Prognose!$B$5:$E$5</c:f>
              <c:numCache>
                <c:formatCode>#,##0</c:formatCode>
                <c:ptCount val="4"/>
                <c:pt idx="0">
                  <c:v>0</c:v>
                </c:pt>
                <c:pt idx="1">
                  <c:v>0</c:v>
                </c:pt>
                <c:pt idx="2">
                  <c:v>137755</c:v>
                </c:pt>
                <c:pt idx="3">
                  <c:v>137755</c:v>
                </c:pt>
              </c:numCache>
            </c:numRef>
          </c:val>
          <c:smooth val="0"/>
          <c:extLst>
            <c:ext xmlns:c16="http://schemas.microsoft.com/office/drawing/2014/chart" uri="{C3380CC4-5D6E-409C-BE32-E72D297353CC}">
              <c16:uniqueId val="{00000000-B277-474D-A20A-F6573F4F7FF6}"/>
            </c:ext>
          </c:extLst>
        </c:ser>
        <c:ser>
          <c:idx val="1"/>
          <c:order val="1"/>
          <c:tx>
            <c:strRef>
              <c:f>Prognose!$A$6</c:f>
              <c:strCache>
                <c:ptCount val="1"/>
                <c:pt idx="0">
                  <c:v>Udgifter</c:v>
                </c:pt>
              </c:strCache>
            </c:strRef>
          </c:tx>
          <c:spPr>
            <a:ln w="12700">
              <a:solidFill>
                <a:srgbClr val="DD0806"/>
              </a:solidFill>
              <a:prstDash val="solid"/>
            </a:ln>
          </c:spPr>
          <c:marker>
            <c:symbol val="diamond"/>
            <c:size val="6"/>
            <c:spPr>
              <a:solidFill>
                <a:srgbClr val="FF0000"/>
              </a:solidFill>
              <a:ln>
                <a:solidFill>
                  <a:srgbClr val="DD0806"/>
                </a:solidFill>
                <a:prstDash val="solid"/>
              </a:ln>
            </c:spPr>
          </c:marker>
          <c:cat>
            <c:numRef>
              <c:f>Prognose!$B$4:$E$4</c:f>
              <c:numCache>
                <c:formatCode>General</c:formatCode>
                <c:ptCount val="4"/>
                <c:pt idx="0">
                  <c:v>2022</c:v>
                </c:pt>
                <c:pt idx="1">
                  <c:v>2023</c:v>
                </c:pt>
                <c:pt idx="2">
                  <c:v>2024</c:v>
                </c:pt>
                <c:pt idx="3">
                  <c:v>2025</c:v>
                </c:pt>
              </c:numCache>
            </c:numRef>
          </c:cat>
          <c:val>
            <c:numRef>
              <c:f>Prognose!$B$6:$E$6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B277-474D-A20A-F6573F4F7FF6}"/>
            </c:ext>
          </c:extLst>
        </c:ser>
        <c:ser>
          <c:idx val="2"/>
          <c:order val="2"/>
          <c:tx>
            <c:strRef>
              <c:f>Prognose!$A$7</c:f>
              <c:strCache>
                <c:ptCount val="1"/>
                <c:pt idx="0">
                  <c:v>Driftsresultat</c:v>
                </c:pt>
              </c:strCache>
            </c:strRef>
          </c:tx>
          <c:spPr>
            <a:ln w="12700">
              <a:solidFill>
                <a:srgbClr val="006411"/>
              </a:solidFill>
              <a:prstDash val="solid"/>
            </a:ln>
          </c:spPr>
          <c:marker>
            <c:symbol val="circle"/>
            <c:size val="6"/>
            <c:spPr>
              <a:solidFill>
                <a:srgbClr val="008000"/>
              </a:solidFill>
              <a:ln>
                <a:solidFill>
                  <a:srgbClr val="006411"/>
                </a:solidFill>
                <a:prstDash val="solid"/>
              </a:ln>
            </c:spPr>
          </c:marker>
          <c:cat>
            <c:numRef>
              <c:f>Prognose!$B$4:$E$4</c:f>
              <c:numCache>
                <c:formatCode>General</c:formatCode>
                <c:ptCount val="4"/>
                <c:pt idx="0">
                  <c:v>2022</c:v>
                </c:pt>
                <c:pt idx="1">
                  <c:v>2023</c:v>
                </c:pt>
                <c:pt idx="2">
                  <c:v>2024</c:v>
                </c:pt>
                <c:pt idx="3">
                  <c:v>2025</c:v>
                </c:pt>
              </c:numCache>
            </c:numRef>
          </c:cat>
          <c:val>
            <c:numRef>
              <c:f>Prognose!$B$7:$E$7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B277-474D-A20A-F6573F4F7FF6}"/>
            </c:ext>
          </c:extLst>
        </c:ser>
        <c:ser>
          <c:idx val="3"/>
          <c:order val="3"/>
          <c:tx>
            <c:strRef>
              <c:f>Prognose!$A$9</c:f>
              <c:strCache>
                <c:ptCount val="1"/>
                <c:pt idx="0">
                  <c:v>Elevtal</c:v>
                </c:pt>
              </c:strCache>
            </c:strRef>
          </c:tx>
          <c:spPr>
            <a:ln w="12700">
              <a:solidFill>
                <a:srgbClr val="00CCFF"/>
              </a:solidFill>
              <a:prstDash val="solid"/>
            </a:ln>
          </c:spPr>
          <c:marker>
            <c:symbol val="none"/>
          </c:marker>
          <c:cat>
            <c:numRef>
              <c:f>Prognose!$B$4:$E$4</c:f>
              <c:numCache>
                <c:formatCode>General</c:formatCode>
                <c:ptCount val="4"/>
                <c:pt idx="0">
                  <c:v>2022</c:v>
                </c:pt>
                <c:pt idx="1">
                  <c:v>2023</c:v>
                </c:pt>
                <c:pt idx="2">
                  <c:v>2024</c:v>
                </c:pt>
                <c:pt idx="3">
                  <c:v>2025</c:v>
                </c:pt>
              </c:numCache>
            </c:numRef>
          </c:cat>
          <c:val>
            <c:numRef>
              <c:f>Prognose!$B$9:$E$9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3-B277-474D-A20A-F6573F4F7FF6}"/>
            </c:ext>
          </c:extLst>
        </c:ser>
        <c:ser>
          <c:idx val="4"/>
          <c:order val="4"/>
          <c:tx>
            <c:strRef>
              <c:f>Prognose!$A$8</c:f>
              <c:strCache>
                <c:ptCount val="1"/>
                <c:pt idx="0">
                  <c:v>Likvider</c:v>
                </c:pt>
              </c:strCache>
            </c:strRef>
          </c:tx>
          <c:spPr>
            <a:ln w="12700">
              <a:solidFill>
                <a:srgbClr val="993366"/>
              </a:solidFill>
              <a:prstDash val="solid"/>
            </a:ln>
          </c:spPr>
          <c:marker>
            <c:symbol val="none"/>
          </c:marker>
          <c:cat>
            <c:numRef>
              <c:f>Prognose!$B$4:$E$4</c:f>
              <c:numCache>
                <c:formatCode>General</c:formatCode>
                <c:ptCount val="4"/>
                <c:pt idx="0">
                  <c:v>2022</c:v>
                </c:pt>
                <c:pt idx="1">
                  <c:v>2023</c:v>
                </c:pt>
                <c:pt idx="2">
                  <c:v>2024</c:v>
                </c:pt>
                <c:pt idx="3">
                  <c:v>2025</c:v>
                </c:pt>
              </c:numCache>
            </c:numRef>
          </c:cat>
          <c:val>
            <c:numRef>
              <c:f>Prognose!$B$8:$E$8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4-B277-474D-A20A-F6573F4F7FF6}"/>
            </c:ext>
          </c:extLst>
        </c:ser>
        <c:dLbls>
          <c:showLegendKey val="0"/>
          <c:showVal val="0"/>
          <c:showCatName val="0"/>
          <c:showSerName val="0"/>
          <c:showPercent val="0"/>
          <c:showBubbleSize val="0"/>
        </c:dLbls>
        <c:marker val="1"/>
        <c:smooth val="0"/>
        <c:axId val="180325376"/>
        <c:axId val="180339456"/>
      </c:lineChart>
      <c:catAx>
        <c:axId val="180325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Geneva"/>
                <a:ea typeface="Geneva"/>
                <a:cs typeface="Geneva"/>
              </a:defRPr>
            </a:pPr>
            <a:endParaRPr lang="da-DK"/>
          </a:p>
        </c:txPr>
        <c:crossAx val="180339456"/>
        <c:crosses val="autoZero"/>
        <c:auto val="1"/>
        <c:lblAlgn val="ctr"/>
        <c:lblOffset val="100"/>
        <c:tickLblSkip val="1"/>
        <c:tickMarkSkip val="1"/>
        <c:noMultiLvlLbl val="0"/>
      </c:catAx>
      <c:valAx>
        <c:axId val="1803394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Geneva"/>
                <a:ea typeface="Geneva"/>
                <a:cs typeface="Geneva"/>
              </a:defRPr>
            </a:pPr>
            <a:endParaRPr lang="da-DK"/>
          </a:p>
        </c:txPr>
        <c:crossAx val="180325376"/>
        <c:crosses val="autoZero"/>
        <c:crossBetween val="between"/>
      </c:valAx>
      <c:spPr>
        <a:solidFill>
          <a:srgbClr val="C0C0C0"/>
        </a:solidFill>
        <a:ln w="12700">
          <a:solidFill>
            <a:srgbClr val="808080"/>
          </a:solidFill>
          <a:prstDash val="solid"/>
        </a:ln>
      </c:spPr>
    </c:plotArea>
    <c:legend>
      <c:legendPos val="r"/>
      <c:layout>
        <c:manualLayout>
          <c:xMode val="edge"/>
          <c:yMode val="edge"/>
          <c:x val="0.71044881120065295"/>
          <c:y val="0.62953072042465297"/>
          <c:w val="0.14984238669594302"/>
          <c:h val="0.192612385353605"/>
        </c:manualLayout>
      </c:layout>
      <c:overlay val="0"/>
      <c:spPr>
        <a:solidFill>
          <a:srgbClr val="FFFFFF"/>
        </a:solidFill>
        <a:ln w="3175">
          <a:solidFill>
            <a:srgbClr val="000000"/>
          </a:solidFill>
          <a:prstDash val="solid"/>
        </a:ln>
      </c:spPr>
      <c:txPr>
        <a:bodyPr/>
        <a:lstStyle/>
        <a:p>
          <a:pPr>
            <a:defRPr sz="490" b="0" i="0" u="none" strike="noStrike" baseline="0">
              <a:solidFill>
                <a:srgbClr val="000000"/>
              </a:solidFill>
              <a:latin typeface="Geneva"/>
              <a:ea typeface="Geneva"/>
              <a:cs typeface="Geneva"/>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a-DK"/>
    </a:p>
  </c:txPr>
  <c:printSettings>
    <c:headerFooter alignWithMargins="0"/>
    <c:pageMargins b="1" l="0.75000000000000211" r="0.75000000000000211" t="1" header="0.51180555555555807" footer="0.51180555555555807"/>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hyperlink" Target="#Ejendom!A36"/><Relationship Id="rId18" Type="http://schemas.openxmlformats.org/officeDocument/2006/relationships/hyperlink" Target="#Administration!A132"/><Relationship Id="rId26" Type="http://schemas.openxmlformats.org/officeDocument/2006/relationships/hyperlink" Target="#'Lon p&#230;d., TAP mm'!BN1"/><Relationship Id="rId39" Type="http://schemas.openxmlformats.org/officeDocument/2006/relationships/hyperlink" Target="#'Lon p&#230;d., TAP mm'!V60"/><Relationship Id="rId21" Type="http://schemas.openxmlformats.org/officeDocument/2006/relationships/hyperlink" Target="#Statstilskud!A47"/><Relationship Id="rId34" Type="http://schemas.openxmlformats.org/officeDocument/2006/relationships/hyperlink" Target="#Administration!A133"/><Relationship Id="rId42" Type="http://schemas.openxmlformats.org/officeDocument/2006/relationships/hyperlink" Target="#'Lon p&#230;d., TAP mm'!AJ5"/><Relationship Id="rId47" Type="http://schemas.openxmlformats.org/officeDocument/2006/relationships/hyperlink" Target="#'Heltids SFO'!A1"/><Relationship Id="rId50" Type="http://schemas.openxmlformats.org/officeDocument/2006/relationships/hyperlink" Target="#'Skolepenge, pasningsordning.'!A104"/><Relationship Id="rId7" Type="http://schemas.openxmlformats.org/officeDocument/2006/relationships/hyperlink" Target="#'Skolepenge, pasningsordning.'!A29"/><Relationship Id="rId2" Type="http://schemas.openxmlformats.org/officeDocument/2006/relationships/image" Target="../media/image1.png"/><Relationship Id="rId16" Type="http://schemas.openxmlformats.org/officeDocument/2006/relationships/hyperlink" Target="#'Lon p&#230;d., TAP mm'!BH60"/><Relationship Id="rId29" Type="http://schemas.openxmlformats.org/officeDocument/2006/relationships/hyperlink" Target="#Ejendom!A67"/><Relationship Id="rId11" Type="http://schemas.openxmlformats.org/officeDocument/2006/relationships/hyperlink" Target="#'Undervisning-SFO udgifter'!A4"/><Relationship Id="rId24" Type="http://schemas.openxmlformats.org/officeDocument/2006/relationships/hyperlink" Target="#'Lon p&#230;d., TAP mm'!C5"/><Relationship Id="rId32" Type="http://schemas.openxmlformats.org/officeDocument/2006/relationships/hyperlink" Target="#'Lon p&#230;d., TAP mm'!A1"/><Relationship Id="rId37" Type="http://schemas.openxmlformats.org/officeDocument/2006/relationships/hyperlink" Target="#Administration!A150"/><Relationship Id="rId40" Type="http://schemas.openxmlformats.org/officeDocument/2006/relationships/hyperlink" Target="#'Heltids SFO'!A30"/><Relationship Id="rId45" Type="http://schemas.openxmlformats.org/officeDocument/2006/relationships/hyperlink" Target="#'Skolepenge, pasningsordning.'!A58"/><Relationship Id="rId53" Type="http://schemas.openxmlformats.org/officeDocument/2006/relationships/hyperlink" Target="#'Lon p&#230;d., TAP mm'!CA60"/><Relationship Id="rId5" Type="http://schemas.openxmlformats.org/officeDocument/2006/relationships/hyperlink" Target="#Statstilskud!A1"/><Relationship Id="rId10" Type="http://schemas.openxmlformats.org/officeDocument/2006/relationships/hyperlink" Target="#Daginstitution!A1"/><Relationship Id="rId19" Type="http://schemas.openxmlformats.org/officeDocument/2006/relationships/hyperlink" Target="#Administration!A143"/><Relationship Id="rId31" Type="http://schemas.openxmlformats.org/officeDocument/2006/relationships/hyperlink" Target="#Ejendom!A91"/><Relationship Id="rId44" Type="http://schemas.openxmlformats.org/officeDocument/2006/relationships/hyperlink" Target="#'Skolepenge, pasningsordning.'!A85"/><Relationship Id="rId52" Type="http://schemas.openxmlformats.org/officeDocument/2006/relationships/hyperlink" Target="#'Lon p&#230;d., TAP mm'!BH1"/><Relationship Id="rId4" Type="http://schemas.openxmlformats.org/officeDocument/2006/relationships/image" Target="../media/image2.png"/><Relationship Id="rId9" Type="http://schemas.openxmlformats.org/officeDocument/2006/relationships/hyperlink" Target="#'Lon p&#230;d., TAP mm'!AB5"/><Relationship Id="rId14" Type="http://schemas.openxmlformats.org/officeDocument/2006/relationships/hyperlink" Target="#'Lon p&#230;d., TAP mm'!CA1"/><Relationship Id="rId22" Type="http://schemas.openxmlformats.org/officeDocument/2006/relationships/hyperlink" Target="#'Skolepenge, pasningsordning.'!A1"/><Relationship Id="rId27" Type="http://schemas.openxmlformats.org/officeDocument/2006/relationships/hyperlink" Target="#Ejendom!A1"/><Relationship Id="rId30" Type="http://schemas.openxmlformats.org/officeDocument/2006/relationships/hyperlink" Target="#Ejendom!A58"/><Relationship Id="rId35" Type="http://schemas.openxmlformats.org/officeDocument/2006/relationships/hyperlink" Target="#'Prio-renter'!A1"/><Relationship Id="rId43" Type="http://schemas.openxmlformats.org/officeDocument/2006/relationships/hyperlink" Target="#'Lon p&#230;d., TAP mm'!AJ60"/><Relationship Id="rId48" Type="http://schemas.openxmlformats.org/officeDocument/2006/relationships/hyperlink" Target="#'Skolepenge, pasningsordning.'!H86"/><Relationship Id="rId8" Type="http://schemas.openxmlformats.org/officeDocument/2006/relationships/hyperlink" Target="#'lon undervisning'!A60"/><Relationship Id="rId51" Type="http://schemas.openxmlformats.org/officeDocument/2006/relationships/hyperlink" Target="#Daginstitution!A69"/><Relationship Id="rId3" Type="http://schemas.openxmlformats.org/officeDocument/2006/relationships/hyperlink" Target="#Hovedskema!A1"/><Relationship Id="rId12" Type="http://schemas.openxmlformats.org/officeDocument/2006/relationships/hyperlink" Target="#'Lon p&#230;d., TAP mm'!BN60"/><Relationship Id="rId17" Type="http://schemas.openxmlformats.org/officeDocument/2006/relationships/hyperlink" Target="#Administration!A1"/><Relationship Id="rId25" Type="http://schemas.openxmlformats.org/officeDocument/2006/relationships/hyperlink" Target="#Undervisningsudg.!A1"/><Relationship Id="rId33" Type="http://schemas.openxmlformats.org/officeDocument/2006/relationships/hyperlink" Target="#Administration!E103"/><Relationship Id="rId38" Type="http://schemas.openxmlformats.org/officeDocument/2006/relationships/hyperlink" Target="#'Lon p&#230;d., TAP mm'!C60"/><Relationship Id="rId46" Type="http://schemas.openxmlformats.org/officeDocument/2006/relationships/hyperlink" Target="#Daginstitution!A35"/><Relationship Id="rId20" Type="http://schemas.openxmlformats.org/officeDocument/2006/relationships/hyperlink" Target="#Administration!F136"/><Relationship Id="rId41" Type="http://schemas.openxmlformats.org/officeDocument/2006/relationships/hyperlink" Target="#'Undervisning-SFO udgifter'!A108"/><Relationship Id="rId54" Type="http://schemas.openxmlformats.org/officeDocument/2006/relationships/hyperlink" Target="#Administration!A108"/><Relationship Id="rId1" Type="http://schemas.openxmlformats.org/officeDocument/2006/relationships/hyperlink" Target="#Elevprognose"/><Relationship Id="rId6" Type="http://schemas.openxmlformats.org/officeDocument/2006/relationships/image" Target="../media/image4.jpeg"/><Relationship Id="rId15" Type="http://schemas.openxmlformats.org/officeDocument/2006/relationships/hyperlink" Target="#Skolemadsordning!A1"/><Relationship Id="rId23" Type="http://schemas.openxmlformats.org/officeDocument/2006/relationships/hyperlink" Target="#'lon undervisning'!A1"/><Relationship Id="rId28" Type="http://schemas.openxmlformats.org/officeDocument/2006/relationships/hyperlink" Target="#Ejendom!A20"/><Relationship Id="rId36" Type="http://schemas.openxmlformats.org/officeDocument/2006/relationships/hyperlink" Target="#Administration!F143"/><Relationship Id="rId49" Type="http://schemas.openxmlformats.org/officeDocument/2006/relationships/hyperlink" Target="#'Skolepenge, pasningsordning.'!A105"/></Relationships>
</file>

<file path=xl/drawings/_rels/drawing3.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Hovedskema!A1"/><Relationship Id="rId2" Type="http://schemas.openxmlformats.org/officeDocument/2006/relationships/image" Target="../media/image1.png"/><Relationship Id="rId1" Type="http://schemas.openxmlformats.org/officeDocument/2006/relationships/hyperlink" Target="#elevprognose"/><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elevprognose"/><Relationship Id="rId2" Type="http://schemas.openxmlformats.org/officeDocument/2006/relationships/image" Target="../media/image2.png"/><Relationship Id="rId1" Type="http://schemas.openxmlformats.org/officeDocument/2006/relationships/hyperlink" Target="#Hovedskema!A1"/><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hyperlink" Target="#elev0o"/><Relationship Id="rId7" Type="http://schemas.openxmlformats.org/officeDocument/2006/relationships/hyperlink" Target="Noter.xlsx" TargetMode="External"/><Relationship Id="rId2" Type="http://schemas.openxmlformats.org/officeDocument/2006/relationships/image" Target="../media/image5.jpeg"/><Relationship Id="rId1" Type="http://schemas.openxmlformats.org/officeDocument/2006/relationships/hyperlink" Target="#'Resultat '!A1"/><Relationship Id="rId6" Type="http://schemas.openxmlformats.org/officeDocument/2006/relationships/image" Target="../media/image7.jpeg"/><Relationship Id="rId5" Type="http://schemas.openxmlformats.org/officeDocument/2006/relationships/hyperlink" Target="#Hovedskema!A1"/><Relationship Id="rId4"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3" Type="http://schemas.openxmlformats.org/officeDocument/2006/relationships/hyperlink" Target="#elev0o"/><Relationship Id="rId7" Type="http://schemas.openxmlformats.org/officeDocument/2006/relationships/hyperlink" Target="#elevprognose"/><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jpeg"/><Relationship Id="rId5" Type="http://schemas.openxmlformats.org/officeDocument/2006/relationships/hyperlink" Target="#Hovedskema!A1"/><Relationship Id="rId4"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1850546</xdr:colOff>
      <xdr:row>0</xdr:row>
      <xdr:rowOff>9525</xdr:rowOff>
    </xdr:from>
    <xdr:to>
      <xdr:col>4</xdr:col>
      <xdr:colOff>641829</xdr:colOff>
      <xdr:row>0</xdr:row>
      <xdr:rowOff>300634</xdr:rowOff>
    </xdr:to>
    <xdr:pic>
      <xdr:nvPicPr>
        <xdr:cNvPr id="5" name="Billed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rcRect/>
        <a:stretch/>
      </xdr:blipFill>
      <xdr:spPr>
        <a:xfrm>
          <a:off x="3410832" y="9525"/>
          <a:ext cx="1802997" cy="291109"/>
        </a:xfrm>
        <a:prstGeom prst="rect">
          <a:avLst/>
        </a:prstGeom>
      </xdr:spPr>
    </xdr:pic>
    <xdr:clientData/>
  </xdr:twoCellAnchor>
  <xdr:twoCellAnchor editAs="oneCell">
    <xdr:from>
      <xdr:col>1</xdr:col>
      <xdr:colOff>416994</xdr:colOff>
      <xdr:row>0</xdr:row>
      <xdr:rowOff>28575</xdr:rowOff>
    </xdr:from>
    <xdr:to>
      <xdr:col>2</xdr:col>
      <xdr:colOff>1449905</xdr:colOff>
      <xdr:row>0</xdr:row>
      <xdr:rowOff>301629</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rcRect/>
        <a:stretch/>
      </xdr:blipFill>
      <xdr:spPr>
        <a:xfrm>
          <a:off x="1460208" y="28575"/>
          <a:ext cx="1549983" cy="273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1243588</xdr:colOff>
      <xdr:row>0</xdr:row>
      <xdr:rowOff>38100</xdr:rowOff>
    </xdr:from>
    <xdr:to>
      <xdr:col>2</xdr:col>
      <xdr:colOff>3060607</xdr:colOff>
      <xdr:row>1</xdr:row>
      <xdr:rowOff>503</xdr:rowOff>
    </xdr:to>
    <xdr:pic>
      <xdr:nvPicPr>
        <xdr:cNvPr id="6" name="Billede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rcRect/>
        <a:stretch/>
      </xdr:blipFill>
      <xdr:spPr>
        <a:xfrm>
          <a:off x="2290376" y="38100"/>
          <a:ext cx="1817019" cy="293373"/>
        </a:xfrm>
        <a:prstGeom prst="rect">
          <a:avLst/>
        </a:prstGeom>
      </xdr:spPr>
    </xdr:pic>
    <xdr:clientData/>
  </xdr:twoCellAnchor>
  <xdr:twoCellAnchor editAs="oneCell">
    <xdr:from>
      <xdr:col>1</xdr:col>
      <xdr:colOff>87935</xdr:colOff>
      <xdr:row>0</xdr:row>
      <xdr:rowOff>43969</xdr:rowOff>
    </xdr:from>
    <xdr:to>
      <xdr:col>2</xdr:col>
      <xdr:colOff>783554</xdr:colOff>
      <xdr:row>0</xdr:row>
      <xdr:rowOff>317023</xdr:rowOff>
    </xdr:to>
    <xdr:pic>
      <xdr:nvPicPr>
        <xdr:cNvPr id="7" name="Billede 6">
          <a:hlinkClick xmlns:r="http://schemas.openxmlformats.org/officeDocument/2006/relationships" r:id="rId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rcRect/>
        <a:stretch/>
      </xdr:blipFill>
      <xdr:spPr>
        <a:xfrm>
          <a:off x="280359" y="43969"/>
          <a:ext cx="1549983" cy="273054"/>
        </a:xfrm>
        <a:prstGeom prst="rect">
          <a:avLst/>
        </a:prstGeom>
      </xdr:spPr>
    </xdr:pic>
    <xdr:clientData/>
  </xdr:twoCellAnchor>
  <xdr:twoCellAnchor editAs="oneCell">
    <xdr:from>
      <xdr:col>0</xdr:col>
      <xdr:colOff>0</xdr:colOff>
      <xdr:row>11</xdr:row>
      <xdr:rowOff>6350</xdr:rowOff>
    </xdr:from>
    <xdr:to>
      <xdr:col>1</xdr:col>
      <xdr:colOff>428625</xdr:colOff>
      <xdr:row>11</xdr:row>
      <xdr:rowOff>194309</xdr:rowOff>
    </xdr:to>
    <xdr:pic>
      <xdr:nvPicPr>
        <xdr:cNvPr id="2" name="Billede 1">
          <a:hlinkClick xmlns:r="http://schemas.openxmlformats.org/officeDocument/2006/relationships" r:id="rId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343150"/>
          <a:ext cx="619125" cy="187959"/>
        </a:xfrm>
        <a:prstGeom prst="rect">
          <a:avLst/>
        </a:prstGeom>
      </xdr:spPr>
    </xdr:pic>
    <xdr:clientData/>
  </xdr:twoCellAnchor>
  <xdr:twoCellAnchor editAs="oneCell">
    <xdr:from>
      <xdr:col>0</xdr:col>
      <xdr:colOff>0</xdr:colOff>
      <xdr:row>15</xdr:row>
      <xdr:rowOff>0</xdr:rowOff>
    </xdr:from>
    <xdr:to>
      <xdr:col>1</xdr:col>
      <xdr:colOff>428625</xdr:colOff>
      <xdr:row>16</xdr:row>
      <xdr:rowOff>21203</xdr:rowOff>
    </xdr:to>
    <xdr:pic>
      <xdr:nvPicPr>
        <xdr:cNvPr id="9" name="Billede 8">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514600"/>
          <a:ext cx="600075" cy="184784"/>
        </a:xfrm>
        <a:prstGeom prst="rect">
          <a:avLst/>
        </a:prstGeom>
      </xdr:spPr>
    </xdr:pic>
    <xdr:clientData/>
  </xdr:twoCellAnchor>
  <xdr:twoCellAnchor editAs="oneCell">
    <xdr:from>
      <xdr:col>0</xdr:col>
      <xdr:colOff>0</xdr:colOff>
      <xdr:row>31</xdr:row>
      <xdr:rowOff>0</xdr:rowOff>
    </xdr:from>
    <xdr:to>
      <xdr:col>1</xdr:col>
      <xdr:colOff>428625</xdr:colOff>
      <xdr:row>31</xdr:row>
      <xdr:rowOff>187959</xdr:rowOff>
    </xdr:to>
    <xdr:pic>
      <xdr:nvPicPr>
        <xdr:cNvPr id="10" name="Billede 9">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343275"/>
          <a:ext cx="600075" cy="184784"/>
        </a:xfrm>
        <a:prstGeom prst="rect">
          <a:avLst/>
        </a:prstGeom>
      </xdr:spPr>
    </xdr:pic>
    <xdr:clientData/>
  </xdr:twoCellAnchor>
  <xdr:twoCellAnchor editAs="oneCell">
    <xdr:from>
      <xdr:col>0</xdr:col>
      <xdr:colOff>0</xdr:colOff>
      <xdr:row>36</xdr:row>
      <xdr:rowOff>0</xdr:rowOff>
    </xdr:from>
    <xdr:to>
      <xdr:col>1</xdr:col>
      <xdr:colOff>428625</xdr:colOff>
      <xdr:row>36</xdr:row>
      <xdr:rowOff>191134</xdr:rowOff>
    </xdr:to>
    <xdr:pic>
      <xdr:nvPicPr>
        <xdr:cNvPr id="11" name="Billede 10">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086225"/>
          <a:ext cx="600075" cy="184784"/>
        </a:xfrm>
        <a:prstGeom prst="rect">
          <a:avLst/>
        </a:prstGeom>
      </xdr:spPr>
    </xdr:pic>
    <xdr:clientData/>
  </xdr:twoCellAnchor>
  <xdr:twoCellAnchor editAs="oneCell">
    <xdr:from>
      <xdr:col>0</xdr:col>
      <xdr:colOff>0</xdr:colOff>
      <xdr:row>38</xdr:row>
      <xdr:rowOff>0</xdr:rowOff>
    </xdr:from>
    <xdr:to>
      <xdr:col>1</xdr:col>
      <xdr:colOff>428625</xdr:colOff>
      <xdr:row>38</xdr:row>
      <xdr:rowOff>197484</xdr:rowOff>
    </xdr:to>
    <xdr:pic>
      <xdr:nvPicPr>
        <xdr:cNvPr id="12" name="Billede 11">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00575"/>
          <a:ext cx="600075" cy="184784"/>
        </a:xfrm>
        <a:prstGeom prst="rect">
          <a:avLst/>
        </a:prstGeom>
      </xdr:spPr>
    </xdr:pic>
    <xdr:clientData/>
  </xdr:twoCellAnchor>
  <xdr:twoCellAnchor editAs="oneCell">
    <xdr:from>
      <xdr:col>0</xdr:col>
      <xdr:colOff>0</xdr:colOff>
      <xdr:row>38</xdr:row>
      <xdr:rowOff>6350</xdr:rowOff>
    </xdr:from>
    <xdr:to>
      <xdr:col>1</xdr:col>
      <xdr:colOff>430767</xdr:colOff>
      <xdr:row>38</xdr:row>
      <xdr:rowOff>165652</xdr:rowOff>
    </xdr:to>
    <xdr:pic>
      <xdr:nvPicPr>
        <xdr:cNvPr id="13" name="Billede 12">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053220"/>
          <a:ext cx="618506" cy="159302"/>
        </a:xfrm>
        <a:prstGeom prst="rect">
          <a:avLst/>
        </a:prstGeom>
      </xdr:spPr>
    </xdr:pic>
    <xdr:clientData/>
  </xdr:twoCellAnchor>
  <xdr:twoCellAnchor editAs="oneCell">
    <xdr:from>
      <xdr:col>0</xdr:col>
      <xdr:colOff>0</xdr:colOff>
      <xdr:row>45</xdr:row>
      <xdr:rowOff>0</xdr:rowOff>
    </xdr:from>
    <xdr:to>
      <xdr:col>1</xdr:col>
      <xdr:colOff>428625</xdr:colOff>
      <xdr:row>45</xdr:row>
      <xdr:rowOff>187959</xdr:rowOff>
    </xdr:to>
    <xdr:pic>
      <xdr:nvPicPr>
        <xdr:cNvPr id="14" name="Billede 13">
          <a:hlinkClick xmlns:r="http://schemas.openxmlformats.org/officeDocument/2006/relationships" r:id="rId12"/>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419725"/>
          <a:ext cx="600075" cy="184784"/>
        </a:xfrm>
        <a:prstGeom prst="rect">
          <a:avLst/>
        </a:prstGeom>
      </xdr:spPr>
    </xdr:pic>
    <xdr:clientData/>
  </xdr:twoCellAnchor>
  <xdr:twoCellAnchor editAs="oneCell">
    <xdr:from>
      <xdr:col>0</xdr:col>
      <xdr:colOff>0</xdr:colOff>
      <xdr:row>47</xdr:row>
      <xdr:rowOff>196850</xdr:rowOff>
    </xdr:from>
    <xdr:to>
      <xdr:col>1</xdr:col>
      <xdr:colOff>428625</xdr:colOff>
      <xdr:row>48</xdr:row>
      <xdr:rowOff>181609</xdr:rowOff>
    </xdr:to>
    <xdr:pic>
      <xdr:nvPicPr>
        <xdr:cNvPr id="15" name="Billede 14">
          <a:hlinkClick xmlns:r="http://schemas.openxmlformats.org/officeDocument/2006/relationships" r:id="rId13"/>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305550"/>
          <a:ext cx="619125" cy="187959"/>
        </a:xfrm>
        <a:prstGeom prst="rect">
          <a:avLst/>
        </a:prstGeom>
      </xdr:spPr>
    </xdr:pic>
    <xdr:clientData/>
  </xdr:twoCellAnchor>
  <xdr:twoCellAnchor editAs="oneCell">
    <xdr:from>
      <xdr:col>0</xdr:col>
      <xdr:colOff>0</xdr:colOff>
      <xdr:row>53</xdr:row>
      <xdr:rowOff>190500</xdr:rowOff>
    </xdr:from>
    <xdr:to>
      <xdr:col>1</xdr:col>
      <xdr:colOff>428625</xdr:colOff>
      <xdr:row>54</xdr:row>
      <xdr:rowOff>175259</xdr:rowOff>
    </xdr:to>
    <xdr:pic>
      <xdr:nvPicPr>
        <xdr:cNvPr id="16" name="Billede 15">
          <a:hlinkClick xmlns:r="http://schemas.openxmlformats.org/officeDocument/2006/relationships" r:id="rId14"/>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518400"/>
          <a:ext cx="619125" cy="187959"/>
        </a:xfrm>
        <a:prstGeom prst="rect">
          <a:avLst/>
        </a:prstGeom>
      </xdr:spPr>
    </xdr:pic>
    <xdr:clientData/>
  </xdr:twoCellAnchor>
  <xdr:twoCellAnchor editAs="oneCell">
    <xdr:from>
      <xdr:col>0</xdr:col>
      <xdr:colOff>0</xdr:colOff>
      <xdr:row>55</xdr:row>
      <xdr:rowOff>200025</xdr:rowOff>
    </xdr:from>
    <xdr:to>
      <xdr:col>1</xdr:col>
      <xdr:colOff>428625</xdr:colOff>
      <xdr:row>56</xdr:row>
      <xdr:rowOff>184784</xdr:rowOff>
    </xdr:to>
    <xdr:pic>
      <xdr:nvPicPr>
        <xdr:cNvPr id="17" name="Billede 16">
          <a:hlinkClick xmlns:r="http://schemas.openxmlformats.org/officeDocument/2006/relationships" r:id="rId15"/>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731125"/>
          <a:ext cx="619125" cy="187959"/>
        </a:xfrm>
        <a:prstGeom prst="rect">
          <a:avLst/>
        </a:prstGeom>
      </xdr:spPr>
    </xdr:pic>
    <xdr:clientData/>
  </xdr:twoCellAnchor>
  <xdr:twoCellAnchor editAs="oneCell">
    <xdr:from>
      <xdr:col>0</xdr:col>
      <xdr:colOff>15875</xdr:colOff>
      <xdr:row>61</xdr:row>
      <xdr:rowOff>12700</xdr:rowOff>
    </xdr:from>
    <xdr:to>
      <xdr:col>1</xdr:col>
      <xdr:colOff>444500</xdr:colOff>
      <xdr:row>62</xdr:row>
      <xdr:rowOff>10159</xdr:rowOff>
    </xdr:to>
    <xdr:pic>
      <xdr:nvPicPr>
        <xdr:cNvPr id="18" name="Billede 17">
          <a:hlinkClick xmlns:r="http://schemas.openxmlformats.org/officeDocument/2006/relationships" r:id="rId16"/>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75" y="8559800"/>
          <a:ext cx="619125" cy="200659"/>
        </a:xfrm>
        <a:prstGeom prst="rect">
          <a:avLst/>
        </a:prstGeom>
      </xdr:spPr>
    </xdr:pic>
    <xdr:clientData/>
  </xdr:twoCellAnchor>
  <xdr:twoCellAnchor editAs="oneCell">
    <xdr:from>
      <xdr:col>0</xdr:col>
      <xdr:colOff>12700</xdr:colOff>
      <xdr:row>61</xdr:row>
      <xdr:rowOff>193675</xdr:rowOff>
    </xdr:from>
    <xdr:to>
      <xdr:col>1</xdr:col>
      <xdr:colOff>441325</xdr:colOff>
      <xdr:row>62</xdr:row>
      <xdr:rowOff>187959</xdr:rowOff>
    </xdr:to>
    <xdr:pic>
      <xdr:nvPicPr>
        <xdr:cNvPr id="19" name="Billede 18">
          <a:hlinkClick xmlns:r="http://schemas.openxmlformats.org/officeDocument/2006/relationships" r:id="rId17"/>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8740775"/>
          <a:ext cx="619125" cy="197484"/>
        </a:xfrm>
        <a:prstGeom prst="rect">
          <a:avLst/>
        </a:prstGeom>
      </xdr:spPr>
    </xdr:pic>
    <xdr:clientData/>
  </xdr:twoCellAnchor>
  <xdr:twoCellAnchor editAs="oneCell">
    <xdr:from>
      <xdr:col>0</xdr:col>
      <xdr:colOff>0</xdr:colOff>
      <xdr:row>70</xdr:row>
      <xdr:rowOff>0</xdr:rowOff>
    </xdr:from>
    <xdr:to>
      <xdr:col>1</xdr:col>
      <xdr:colOff>428625</xdr:colOff>
      <xdr:row>70</xdr:row>
      <xdr:rowOff>197484</xdr:rowOff>
    </xdr:to>
    <xdr:pic>
      <xdr:nvPicPr>
        <xdr:cNvPr id="20" name="Billede 19">
          <a:hlinkClick xmlns:r="http://schemas.openxmlformats.org/officeDocument/2006/relationships" r:id="rId18"/>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9715500"/>
          <a:ext cx="600075" cy="184784"/>
        </a:xfrm>
        <a:prstGeom prst="rect">
          <a:avLst/>
        </a:prstGeom>
      </xdr:spPr>
    </xdr:pic>
    <xdr:clientData/>
  </xdr:twoCellAnchor>
  <xdr:twoCellAnchor editAs="oneCell">
    <xdr:from>
      <xdr:col>0</xdr:col>
      <xdr:colOff>0</xdr:colOff>
      <xdr:row>74</xdr:row>
      <xdr:rowOff>0</xdr:rowOff>
    </xdr:from>
    <xdr:to>
      <xdr:col>1</xdr:col>
      <xdr:colOff>428625</xdr:colOff>
      <xdr:row>74</xdr:row>
      <xdr:rowOff>187959</xdr:rowOff>
    </xdr:to>
    <xdr:pic>
      <xdr:nvPicPr>
        <xdr:cNvPr id="21" name="Billede 20">
          <a:hlinkClick xmlns:r="http://schemas.openxmlformats.org/officeDocument/2006/relationships" r:id="rId19"/>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325100"/>
          <a:ext cx="600075" cy="184784"/>
        </a:xfrm>
        <a:prstGeom prst="rect">
          <a:avLst/>
        </a:prstGeom>
      </xdr:spPr>
    </xdr:pic>
    <xdr:clientData/>
  </xdr:twoCellAnchor>
  <xdr:twoCellAnchor editAs="oneCell">
    <xdr:from>
      <xdr:col>0</xdr:col>
      <xdr:colOff>0</xdr:colOff>
      <xdr:row>79</xdr:row>
      <xdr:rowOff>6350</xdr:rowOff>
    </xdr:from>
    <xdr:to>
      <xdr:col>1</xdr:col>
      <xdr:colOff>428625</xdr:colOff>
      <xdr:row>79</xdr:row>
      <xdr:rowOff>194309</xdr:rowOff>
    </xdr:to>
    <xdr:pic>
      <xdr:nvPicPr>
        <xdr:cNvPr id="22" name="Billede 21">
          <a:hlinkClick xmlns:r="http://schemas.openxmlformats.org/officeDocument/2006/relationships" r:id="rId20"/>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147550"/>
          <a:ext cx="619125" cy="187959"/>
        </a:xfrm>
        <a:prstGeom prst="rect">
          <a:avLst/>
        </a:prstGeom>
      </xdr:spPr>
    </xdr:pic>
    <xdr:clientData/>
  </xdr:twoCellAnchor>
  <xdr:twoCellAnchor editAs="oneCell">
    <xdr:from>
      <xdr:col>0</xdr:col>
      <xdr:colOff>0</xdr:colOff>
      <xdr:row>11</xdr:row>
      <xdr:rowOff>190500</xdr:rowOff>
    </xdr:from>
    <xdr:to>
      <xdr:col>1</xdr:col>
      <xdr:colOff>428625</xdr:colOff>
      <xdr:row>12</xdr:row>
      <xdr:rowOff>162558</xdr:rowOff>
    </xdr:to>
    <xdr:pic>
      <xdr:nvPicPr>
        <xdr:cNvPr id="23" name="Billede 22">
          <a:hlinkClick xmlns:r="http://schemas.openxmlformats.org/officeDocument/2006/relationships" r:id="rId21"/>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527300"/>
          <a:ext cx="619125" cy="187959"/>
        </a:xfrm>
        <a:prstGeom prst="rect">
          <a:avLst/>
        </a:prstGeom>
      </xdr:spPr>
    </xdr:pic>
    <xdr:clientData/>
  </xdr:twoCellAnchor>
  <xdr:twoCellAnchor editAs="oneCell">
    <xdr:from>
      <xdr:col>0</xdr:col>
      <xdr:colOff>0</xdr:colOff>
      <xdr:row>14</xdr:row>
      <xdr:rowOff>0</xdr:rowOff>
    </xdr:from>
    <xdr:to>
      <xdr:col>1</xdr:col>
      <xdr:colOff>428625</xdr:colOff>
      <xdr:row>15</xdr:row>
      <xdr:rowOff>22858</xdr:rowOff>
    </xdr:to>
    <xdr:pic>
      <xdr:nvPicPr>
        <xdr:cNvPr id="24" name="Billede 23">
          <a:hlinkClick xmlns:r="http://schemas.openxmlformats.org/officeDocument/2006/relationships" r:id="rId22"/>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717800"/>
          <a:ext cx="619125" cy="187959"/>
        </a:xfrm>
        <a:prstGeom prst="rect">
          <a:avLst/>
        </a:prstGeom>
      </xdr:spPr>
    </xdr:pic>
    <xdr:clientData/>
  </xdr:twoCellAnchor>
  <xdr:twoCellAnchor editAs="oneCell">
    <xdr:from>
      <xdr:col>0</xdr:col>
      <xdr:colOff>0</xdr:colOff>
      <xdr:row>17</xdr:row>
      <xdr:rowOff>0</xdr:rowOff>
    </xdr:from>
    <xdr:to>
      <xdr:col>1</xdr:col>
      <xdr:colOff>428625</xdr:colOff>
      <xdr:row>17</xdr:row>
      <xdr:rowOff>187959</xdr:rowOff>
    </xdr:to>
    <xdr:pic>
      <xdr:nvPicPr>
        <xdr:cNvPr id="25" name="Billede 24">
          <a:hlinkClick xmlns:r="http://schemas.openxmlformats.org/officeDocument/2006/relationships" r:id="rId10"/>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060700"/>
          <a:ext cx="619125" cy="187959"/>
        </a:xfrm>
        <a:prstGeom prst="rect">
          <a:avLst/>
        </a:prstGeom>
      </xdr:spPr>
    </xdr:pic>
    <xdr:clientData/>
  </xdr:twoCellAnchor>
  <xdr:twoCellAnchor editAs="oneCell">
    <xdr:from>
      <xdr:col>0</xdr:col>
      <xdr:colOff>0</xdr:colOff>
      <xdr:row>30</xdr:row>
      <xdr:rowOff>0</xdr:rowOff>
    </xdr:from>
    <xdr:to>
      <xdr:col>1</xdr:col>
      <xdr:colOff>428625</xdr:colOff>
      <xdr:row>30</xdr:row>
      <xdr:rowOff>187959</xdr:rowOff>
    </xdr:to>
    <xdr:pic>
      <xdr:nvPicPr>
        <xdr:cNvPr id="26" name="Billede 25">
          <a:hlinkClick xmlns:r="http://schemas.openxmlformats.org/officeDocument/2006/relationships" r:id="rId23"/>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581400"/>
          <a:ext cx="619125" cy="187959"/>
        </a:xfrm>
        <a:prstGeom prst="rect">
          <a:avLst/>
        </a:prstGeom>
      </xdr:spPr>
    </xdr:pic>
    <xdr:clientData/>
  </xdr:twoCellAnchor>
  <xdr:twoCellAnchor editAs="oneCell">
    <xdr:from>
      <xdr:col>0</xdr:col>
      <xdr:colOff>0</xdr:colOff>
      <xdr:row>32</xdr:row>
      <xdr:rowOff>0</xdr:rowOff>
    </xdr:from>
    <xdr:to>
      <xdr:col>1</xdr:col>
      <xdr:colOff>428625</xdr:colOff>
      <xdr:row>32</xdr:row>
      <xdr:rowOff>187959</xdr:rowOff>
    </xdr:to>
    <xdr:pic>
      <xdr:nvPicPr>
        <xdr:cNvPr id="27" name="Billede 26">
          <a:hlinkClick xmlns:r="http://schemas.openxmlformats.org/officeDocument/2006/relationships" r:id="rId24"/>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911600"/>
          <a:ext cx="619125" cy="187959"/>
        </a:xfrm>
        <a:prstGeom prst="rect">
          <a:avLst/>
        </a:prstGeom>
      </xdr:spPr>
    </xdr:pic>
    <xdr:clientData/>
  </xdr:twoCellAnchor>
  <xdr:twoCellAnchor editAs="oneCell">
    <xdr:from>
      <xdr:col>0</xdr:col>
      <xdr:colOff>0</xdr:colOff>
      <xdr:row>39</xdr:row>
      <xdr:rowOff>0</xdr:rowOff>
    </xdr:from>
    <xdr:to>
      <xdr:col>1</xdr:col>
      <xdr:colOff>428625</xdr:colOff>
      <xdr:row>39</xdr:row>
      <xdr:rowOff>187959</xdr:rowOff>
    </xdr:to>
    <xdr:pic>
      <xdr:nvPicPr>
        <xdr:cNvPr id="28" name="Billede 27">
          <a:hlinkClick xmlns:r="http://schemas.openxmlformats.org/officeDocument/2006/relationships" r:id="rId25"/>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737100"/>
          <a:ext cx="619125" cy="187959"/>
        </a:xfrm>
        <a:prstGeom prst="rect">
          <a:avLst/>
        </a:prstGeom>
      </xdr:spPr>
    </xdr:pic>
    <xdr:clientData/>
  </xdr:twoCellAnchor>
  <xdr:twoCellAnchor editAs="oneCell">
    <xdr:from>
      <xdr:col>0</xdr:col>
      <xdr:colOff>0</xdr:colOff>
      <xdr:row>44</xdr:row>
      <xdr:rowOff>0</xdr:rowOff>
    </xdr:from>
    <xdr:to>
      <xdr:col>1</xdr:col>
      <xdr:colOff>428625</xdr:colOff>
      <xdr:row>44</xdr:row>
      <xdr:rowOff>187959</xdr:rowOff>
    </xdr:to>
    <xdr:pic>
      <xdr:nvPicPr>
        <xdr:cNvPr id="29" name="Billede 28">
          <a:hlinkClick xmlns:r="http://schemas.openxmlformats.org/officeDocument/2006/relationships" r:id="rId26"/>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092700"/>
          <a:ext cx="619125" cy="187959"/>
        </a:xfrm>
        <a:prstGeom prst="rect">
          <a:avLst/>
        </a:prstGeom>
      </xdr:spPr>
    </xdr:pic>
    <xdr:clientData/>
  </xdr:twoCellAnchor>
  <xdr:twoCellAnchor editAs="oneCell">
    <xdr:from>
      <xdr:col>0</xdr:col>
      <xdr:colOff>0</xdr:colOff>
      <xdr:row>46</xdr:row>
      <xdr:rowOff>0</xdr:rowOff>
    </xdr:from>
    <xdr:to>
      <xdr:col>1</xdr:col>
      <xdr:colOff>428625</xdr:colOff>
      <xdr:row>46</xdr:row>
      <xdr:rowOff>187959</xdr:rowOff>
    </xdr:to>
    <xdr:pic>
      <xdr:nvPicPr>
        <xdr:cNvPr id="30" name="Billede 29">
          <a:hlinkClick xmlns:r="http://schemas.openxmlformats.org/officeDocument/2006/relationships" r:id="rId27"/>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422900"/>
          <a:ext cx="619125" cy="187959"/>
        </a:xfrm>
        <a:prstGeom prst="rect">
          <a:avLst/>
        </a:prstGeom>
      </xdr:spPr>
    </xdr:pic>
    <xdr:clientData/>
  </xdr:twoCellAnchor>
  <xdr:twoCellAnchor editAs="oneCell">
    <xdr:from>
      <xdr:col>0</xdr:col>
      <xdr:colOff>0</xdr:colOff>
      <xdr:row>47</xdr:row>
      <xdr:rowOff>0</xdr:rowOff>
    </xdr:from>
    <xdr:to>
      <xdr:col>1</xdr:col>
      <xdr:colOff>428625</xdr:colOff>
      <xdr:row>47</xdr:row>
      <xdr:rowOff>187959</xdr:rowOff>
    </xdr:to>
    <xdr:pic>
      <xdr:nvPicPr>
        <xdr:cNvPr id="31" name="Billede 30">
          <a:hlinkClick xmlns:r="http://schemas.openxmlformats.org/officeDocument/2006/relationships" r:id="rId28"/>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588000"/>
          <a:ext cx="619125" cy="187959"/>
        </a:xfrm>
        <a:prstGeom prst="rect">
          <a:avLst/>
        </a:prstGeom>
      </xdr:spPr>
    </xdr:pic>
    <xdr:clientData/>
  </xdr:twoCellAnchor>
  <xdr:twoCellAnchor editAs="oneCell">
    <xdr:from>
      <xdr:col>0</xdr:col>
      <xdr:colOff>0</xdr:colOff>
      <xdr:row>50</xdr:row>
      <xdr:rowOff>0</xdr:rowOff>
    </xdr:from>
    <xdr:to>
      <xdr:col>1</xdr:col>
      <xdr:colOff>428625</xdr:colOff>
      <xdr:row>50</xdr:row>
      <xdr:rowOff>187959</xdr:rowOff>
    </xdr:to>
    <xdr:pic>
      <xdr:nvPicPr>
        <xdr:cNvPr id="32" name="Billede 31">
          <a:hlinkClick xmlns:r="http://schemas.openxmlformats.org/officeDocument/2006/relationships" r:id="rId29"/>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083300"/>
          <a:ext cx="619125" cy="187959"/>
        </a:xfrm>
        <a:prstGeom prst="rect">
          <a:avLst/>
        </a:prstGeom>
      </xdr:spPr>
    </xdr:pic>
    <xdr:clientData/>
  </xdr:twoCellAnchor>
  <xdr:twoCellAnchor editAs="oneCell">
    <xdr:from>
      <xdr:col>0</xdr:col>
      <xdr:colOff>0</xdr:colOff>
      <xdr:row>49</xdr:row>
      <xdr:rowOff>0</xdr:rowOff>
    </xdr:from>
    <xdr:to>
      <xdr:col>1</xdr:col>
      <xdr:colOff>428625</xdr:colOff>
      <xdr:row>49</xdr:row>
      <xdr:rowOff>187959</xdr:rowOff>
    </xdr:to>
    <xdr:pic>
      <xdr:nvPicPr>
        <xdr:cNvPr id="33" name="Billede 32">
          <a:hlinkClick xmlns:r="http://schemas.openxmlformats.org/officeDocument/2006/relationships" r:id="rId30"/>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918200"/>
          <a:ext cx="619125" cy="187959"/>
        </a:xfrm>
        <a:prstGeom prst="rect">
          <a:avLst/>
        </a:prstGeom>
      </xdr:spPr>
    </xdr:pic>
    <xdr:clientData/>
  </xdr:twoCellAnchor>
  <xdr:twoCellAnchor editAs="oneCell">
    <xdr:from>
      <xdr:col>0</xdr:col>
      <xdr:colOff>0</xdr:colOff>
      <xdr:row>51</xdr:row>
      <xdr:rowOff>0</xdr:rowOff>
    </xdr:from>
    <xdr:to>
      <xdr:col>1</xdr:col>
      <xdr:colOff>428625</xdr:colOff>
      <xdr:row>51</xdr:row>
      <xdr:rowOff>187959</xdr:rowOff>
    </xdr:to>
    <xdr:pic>
      <xdr:nvPicPr>
        <xdr:cNvPr id="34" name="Billede 33">
          <a:hlinkClick xmlns:r="http://schemas.openxmlformats.org/officeDocument/2006/relationships" r:id="rId31"/>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248400"/>
          <a:ext cx="619125" cy="187959"/>
        </a:xfrm>
        <a:prstGeom prst="rect">
          <a:avLst/>
        </a:prstGeom>
      </xdr:spPr>
    </xdr:pic>
    <xdr:clientData/>
  </xdr:twoCellAnchor>
  <xdr:twoCellAnchor editAs="oneCell">
    <xdr:from>
      <xdr:col>0</xdr:col>
      <xdr:colOff>0</xdr:colOff>
      <xdr:row>52</xdr:row>
      <xdr:rowOff>177800</xdr:rowOff>
    </xdr:from>
    <xdr:to>
      <xdr:col>1</xdr:col>
      <xdr:colOff>428625</xdr:colOff>
      <xdr:row>53</xdr:row>
      <xdr:rowOff>162560</xdr:rowOff>
    </xdr:to>
    <xdr:pic>
      <xdr:nvPicPr>
        <xdr:cNvPr id="35" name="Billede 34">
          <a:hlinkClick xmlns:r="http://schemas.openxmlformats.org/officeDocument/2006/relationships" r:id="rId32"/>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302500"/>
          <a:ext cx="619125" cy="187959"/>
        </a:xfrm>
        <a:prstGeom prst="rect">
          <a:avLst/>
        </a:prstGeom>
      </xdr:spPr>
    </xdr:pic>
    <xdr:clientData/>
  </xdr:twoCellAnchor>
  <xdr:twoCellAnchor editAs="oneCell">
    <xdr:from>
      <xdr:col>0</xdr:col>
      <xdr:colOff>0</xdr:colOff>
      <xdr:row>57</xdr:row>
      <xdr:rowOff>0</xdr:rowOff>
    </xdr:from>
    <xdr:to>
      <xdr:col>1</xdr:col>
      <xdr:colOff>428625</xdr:colOff>
      <xdr:row>57</xdr:row>
      <xdr:rowOff>187959</xdr:rowOff>
    </xdr:to>
    <xdr:pic>
      <xdr:nvPicPr>
        <xdr:cNvPr id="36" name="Billede 35">
          <a:hlinkClick xmlns:r="http://schemas.openxmlformats.org/officeDocument/2006/relationships" r:id="rId1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7099300"/>
          <a:ext cx="619125" cy="187959"/>
        </a:xfrm>
        <a:prstGeom prst="rect">
          <a:avLst/>
        </a:prstGeom>
      </xdr:spPr>
    </xdr:pic>
    <xdr:clientData/>
  </xdr:twoCellAnchor>
  <xdr:twoCellAnchor editAs="oneCell">
    <xdr:from>
      <xdr:col>0</xdr:col>
      <xdr:colOff>0</xdr:colOff>
      <xdr:row>60</xdr:row>
      <xdr:rowOff>0</xdr:rowOff>
    </xdr:from>
    <xdr:to>
      <xdr:col>1</xdr:col>
      <xdr:colOff>428625</xdr:colOff>
      <xdr:row>61</xdr:row>
      <xdr:rowOff>1</xdr:rowOff>
    </xdr:to>
    <xdr:pic>
      <xdr:nvPicPr>
        <xdr:cNvPr id="37" name="Billede 36">
          <a:hlinkClick xmlns:r="http://schemas.openxmlformats.org/officeDocument/2006/relationships" r:id="rId32"/>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43900"/>
          <a:ext cx="619125" cy="203200"/>
        </a:xfrm>
        <a:prstGeom prst="rect">
          <a:avLst/>
        </a:prstGeom>
      </xdr:spPr>
    </xdr:pic>
    <xdr:clientData/>
  </xdr:twoCellAnchor>
  <xdr:twoCellAnchor editAs="oneCell">
    <xdr:from>
      <xdr:col>0</xdr:col>
      <xdr:colOff>0</xdr:colOff>
      <xdr:row>69</xdr:row>
      <xdr:rowOff>0</xdr:rowOff>
    </xdr:from>
    <xdr:to>
      <xdr:col>1</xdr:col>
      <xdr:colOff>428625</xdr:colOff>
      <xdr:row>69</xdr:row>
      <xdr:rowOff>197484</xdr:rowOff>
    </xdr:to>
    <xdr:pic>
      <xdr:nvPicPr>
        <xdr:cNvPr id="39" name="Billede 38">
          <a:hlinkClick xmlns:r="http://schemas.openxmlformats.org/officeDocument/2006/relationships" r:id="rId33"/>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109200"/>
          <a:ext cx="619125" cy="197484"/>
        </a:xfrm>
        <a:prstGeom prst="rect">
          <a:avLst/>
        </a:prstGeom>
      </xdr:spPr>
    </xdr:pic>
    <xdr:clientData/>
  </xdr:twoCellAnchor>
  <xdr:twoCellAnchor editAs="oneCell">
    <xdr:from>
      <xdr:col>0</xdr:col>
      <xdr:colOff>0</xdr:colOff>
      <xdr:row>71</xdr:row>
      <xdr:rowOff>0</xdr:rowOff>
    </xdr:from>
    <xdr:to>
      <xdr:col>1</xdr:col>
      <xdr:colOff>428625</xdr:colOff>
      <xdr:row>71</xdr:row>
      <xdr:rowOff>197484</xdr:rowOff>
    </xdr:to>
    <xdr:pic>
      <xdr:nvPicPr>
        <xdr:cNvPr id="40" name="Billede 39">
          <a:hlinkClick xmlns:r="http://schemas.openxmlformats.org/officeDocument/2006/relationships" r:id="rId34"/>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515600"/>
          <a:ext cx="619125" cy="197484"/>
        </a:xfrm>
        <a:prstGeom prst="rect">
          <a:avLst/>
        </a:prstGeom>
      </xdr:spPr>
    </xdr:pic>
    <xdr:clientData/>
  </xdr:twoCellAnchor>
  <xdr:twoCellAnchor editAs="oneCell">
    <xdr:from>
      <xdr:col>0</xdr:col>
      <xdr:colOff>12700</xdr:colOff>
      <xdr:row>73</xdr:row>
      <xdr:rowOff>0</xdr:rowOff>
    </xdr:from>
    <xdr:to>
      <xdr:col>1</xdr:col>
      <xdr:colOff>441325</xdr:colOff>
      <xdr:row>73</xdr:row>
      <xdr:rowOff>187959</xdr:rowOff>
    </xdr:to>
    <xdr:pic>
      <xdr:nvPicPr>
        <xdr:cNvPr id="41" name="Billede 40">
          <a:hlinkClick xmlns:r="http://schemas.openxmlformats.org/officeDocument/2006/relationships" r:id="rId35"/>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10922000"/>
          <a:ext cx="619125" cy="187959"/>
        </a:xfrm>
        <a:prstGeom prst="rect">
          <a:avLst/>
        </a:prstGeom>
      </xdr:spPr>
    </xdr:pic>
    <xdr:clientData/>
  </xdr:twoCellAnchor>
  <xdr:twoCellAnchor editAs="oneCell">
    <xdr:from>
      <xdr:col>0</xdr:col>
      <xdr:colOff>0</xdr:colOff>
      <xdr:row>80</xdr:row>
      <xdr:rowOff>12700</xdr:rowOff>
    </xdr:from>
    <xdr:to>
      <xdr:col>1</xdr:col>
      <xdr:colOff>428625</xdr:colOff>
      <xdr:row>81</xdr:row>
      <xdr:rowOff>1878</xdr:rowOff>
    </xdr:to>
    <xdr:pic>
      <xdr:nvPicPr>
        <xdr:cNvPr id="42" name="Billede 41">
          <a:hlinkClick xmlns:r="http://schemas.openxmlformats.org/officeDocument/2006/relationships" r:id="rId36"/>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357100"/>
          <a:ext cx="619125" cy="187959"/>
        </a:xfrm>
        <a:prstGeom prst="rect">
          <a:avLst/>
        </a:prstGeom>
      </xdr:spPr>
    </xdr:pic>
    <xdr:clientData/>
  </xdr:twoCellAnchor>
  <xdr:twoCellAnchor editAs="oneCell">
    <xdr:from>
      <xdr:col>0</xdr:col>
      <xdr:colOff>0</xdr:colOff>
      <xdr:row>75</xdr:row>
      <xdr:rowOff>0</xdr:rowOff>
    </xdr:from>
    <xdr:to>
      <xdr:col>1</xdr:col>
      <xdr:colOff>428625</xdr:colOff>
      <xdr:row>75</xdr:row>
      <xdr:rowOff>187959</xdr:rowOff>
    </xdr:to>
    <xdr:pic>
      <xdr:nvPicPr>
        <xdr:cNvPr id="43" name="Billede 42">
          <a:hlinkClick xmlns:r="http://schemas.openxmlformats.org/officeDocument/2006/relationships" r:id="rId37"/>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28400"/>
          <a:ext cx="619125" cy="187959"/>
        </a:xfrm>
        <a:prstGeom prst="rect">
          <a:avLst/>
        </a:prstGeom>
      </xdr:spPr>
    </xdr:pic>
    <xdr:clientData/>
  </xdr:twoCellAnchor>
  <xdr:twoCellAnchor editAs="oneCell">
    <xdr:from>
      <xdr:col>0</xdr:col>
      <xdr:colOff>0</xdr:colOff>
      <xdr:row>33</xdr:row>
      <xdr:rowOff>0</xdr:rowOff>
    </xdr:from>
    <xdr:to>
      <xdr:col>1</xdr:col>
      <xdr:colOff>428625</xdr:colOff>
      <xdr:row>33</xdr:row>
      <xdr:rowOff>187959</xdr:rowOff>
    </xdr:to>
    <xdr:pic>
      <xdr:nvPicPr>
        <xdr:cNvPr id="44" name="Billede 43">
          <a:hlinkClick xmlns:r="http://schemas.openxmlformats.org/officeDocument/2006/relationships" r:id="rId38"/>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251739"/>
          <a:ext cx="616364" cy="187959"/>
        </a:xfrm>
        <a:prstGeom prst="rect">
          <a:avLst/>
        </a:prstGeom>
      </xdr:spPr>
    </xdr:pic>
    <xdr:clientData/>
  </xdr:twoCellAnchor>
  <xdr:twoCellAnchor editAs="oneCell">
    <xdr:from>
      <xdr:col>0</xdr:col>
      <xdr:colOff>0</xdr:colOff>
      <xdr:row>37</xdr:row>
      <xdr:rowOff>11044</xdr:rowOff>
    </xdr:from>
    <xdr:to>
      <xdr:col>1</xdr:col>
      <xdr:colOff>428625</xdr:colOff>
      <xdr:row>38</xdr:row>
      <xdr:rowOff>3396</xdr:rowOff>
    </xdr:to>
    <xdr:pic>
      <xdr:nvPicPr>
        <xdr:cNvPr id="45" name="Billede 44">
          <a:hlinkClick xmlns:r="http://schemas.openxmlformats.org/officeDocument/2006/relationships" r:id="rId39"/>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60348"/>
          <a:ext cx="616364" cy="191134"/>
        </a:xfrm>
        <a:prstGeom prst="rect">
          <a:avLst/>
        </a:prstGeom>
      </xdr:spPr>
    </xdr:pic>
    <xdr:clientData/>
  </xdr:twoCellAnchor>
  <xdr:twoCellAnchor editAs="oneCell">
    <xdr:from>
      <xdr:col>0</xdr:col>
      <xdr:colOff>0</xdr:colOff>
      <xdr:row>41</xdr:row>
      <xdr:rowOff>0</xdr:rowOff>
    </xdr:from>
    <xdr:to>
      <xdr:col>1</xdr:col>
      <xdr:colOff>428625</xdr:colOff>
      <xdr:row>41</xdr:row>
      <xdr:rowOff>197484</xdr:rowOff>
    </xdr:to>
    <xdr:pic>
      <xdr:nvPicPr>
        <xdr:cNvPr id="46" name="Billede 45">
          <a:hlinkClick xmlns:r="http://schemas.openxmlformats.org/officeDocument/2006/relationships" r:id="rId40"/>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848087"/>
          <a:ext cx="616364" cy="197484"/>
        </a:xfrm>
        <a:prstGeom prst="rect">
          <a:avLst/>
        </a:prstGeom>
      </xdr:spPr>
    </xdr:pic>
    <xdr:clientData/>
  </xdr:twoCellAnchor>
  <xdr:twoCellAnchor editAs="oneCell">
    <xdr:from>
      <xdr:col>0</xdr:col>
      <xdr:colOff>0</xdr:colOff>
      <xdr:row>39</xdr:row>
      <xdr:rowOff>11044</xdr:rowOff>
    </xdr:from>
    <xdr:to>
      <xdr:col>1</xdr:col>
      <xdr:colOff>428625</xdr:colOff>
      <xdr:row>40</xdr:row>
      <xdr:rowOff>3395</xdr:rowOff>
    </xdr:to>
    <xdr:pic>
      <xdr:nvPicPr>
        <xdr:cNvPr id="47" name="Billede 46">
          <a:hlinkClick xmlns:r="http://schemas.openxmlformats.org/officeDocument/2006/relationships" r:id="rId41"/>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660348"/>
          <a:ext cx="616364" cy="191134"/>
        </a:xfrm>
        <a:prstGeom prst="rect">
          <a:avLst/>
        </a:prstGeom>
      </xdr:spPr>
    </xdr:pic>
    <xdr:clientData/>
  </xdr:twoCellAnchor>
  <xdr:twoCellAnchor editAs="oneCell">
    <xdr:from>
      <xdr:col>0</xdr:col>
      <xdr:colOff>0</xdr:colOff>
      <xdr:row>34</xdr:row>
      <xdr:rowOff>0</xdr:rowOff>
    </xdr:from>
    <xdr:to>
      <xdr:col>1</xdr:col>
      <xdr:colOff>428625</xdr:colOff>
      <xdr:row>34</xdr:row>
      <xdr:rowOff>187959</xdr:rowOff>
    </xdr:to>
    <xdr:pic>
      <xdr:nvPicPr>
        <xdr:cNvPr id="48" name="Billede 47">
          <a:hlinkClick xmlns:r="http://schemas.openxmlformats.org/officeDocument/2006/relationships" r:id="rId42"/>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052957"/>
          <a:ext cx="616364" cy="187959"/>
        </a:xfrm>
        <a:prstGeom prst="rect">
          <a:avLst/>
        </a:prstGeom>
      </xdr:spPr>
    </xdr:pic>
    <xdr:clientData/>
  </xdr:twoCellAnchor>
  <xdr:twoCellAnchor editAs="oneCell">
    <xdr:from>
      <xdr:col>0</xdr:col>
      <xdr:colOff>0</xdr:colOff>
      <xdr:row>35</xdr:row>
      <xdr:rowOff>0</xdr:rowOff>
    </xdr:from>
    <xdr:to>
      <xdr:col>1</xdr:col>
      <xdr:colOff>428625</xdr:colOff>
      <xdr:row>35</xdr:row>
      <xdr:rowOff>187959</xdr:rowOff>
    </xdr:to>
    <xdr:pic>
      <xdr:nvPicPr>
        <xdr:cNvPr id="49" name="Billede 48">
          <a:hlinkClick xmlns:r="http://schemas.openxmlformats.org/officeDocument/2006/relationships" r:id="rId43"/>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251739"/>
          <a:ext cx="616364" cy="187959"/>
        </a:xfrm>
        <a:prstGeom prst="rect">
          <a:avLst/>
        </a:prstGeom>
      </xdr:spPr>
    </xdr:pic>
    <xdr:clientData/>
  </xdr:twoCellAnchor>
  <xdr:twoCellAnchor editAs="oneCell">
    <xdr:from>
      <xdr:col>0</xdr:col>
      <xdr:colOff>0</xdr:colOff>
      <xdr:row>27</xdr:row>
      <xdr:rowOff>0</xdr:rowOff>
    </xdr:from>
    <xdr:to>
      <xdr:col>1</xdr:col>
      <xdr:colOff>428625</xdr:colOff>
      <xdr:row>27</xdr:row>
      <xdr:rowOff>187959</xdr:rowOff>
    </xdr:to>
    <xdr:pic>
      <xdr:nvPicPr>
        <xdr:cNvPr id="50" name="Billede 49">
          <a:hlinkClick xmlns:r="http://schemas.openxmlformats.org/officeDocument/2006/relationships" r:id="rId44"/>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257826"/>
          <a:ext cx="616364" cy="187959"/>
        </a:xfrm>
        <a:prstGeom prst="rect">
          <a:avLst/>
        </a:prstGeom>
      </xdr:spPr>
    </xdr:pic>
    <xdr:clientData/>
  </xdr:twoCellAnchor>
  <xdr:twoCellAnchor editAs="oneCell">
    <xdr:from>
      <xdr:col>0</xdr:col>
      <xdr:colOff>0</xdr:colOff>
      <xdr:row>16</xdr:row>
      <xdr:rowOff>0</xdr:rowOff>
    </xdr:from>
    <xdr:to>
      <xdr:col>1</xdr:col>
      <xdr:colOff>428625</xdr:colOff>
      <xdr:row>17</xdr:row>
      <xdr:rowOff>21200</xdr:rowOff>
    </xdr:to>
    <xdr:pic>
      <xdr:nvPicPr>
        <xdr:cNvPr id="52" name="Billede 51">
          <a:hlinkClick xmlns:r="http://schemas.openxmlformats.org/officeDocument/2006/relationships" r:id="rId45"/>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434522"/>
          <a:ext cx="616364" cy="186854"/>
        </a:xfrm>
        <a:prstGeom prst="rect">
          <a:avLst/>
        </a:prstGeom>
      </xdr:spPr>
    </xdr:pic>
    <xdr:clientData/>
  </xdr:twoCellAnchor>
  <xdr:twoCellAnchor editAs="oneCell">
    <xdr:from>
      <xdr:col>0</xdr:col>
      <xdr:colOff>0</xdr:colOff>
      <xdr:row>18</xdr:row>
      <xdr:rowOff>11044</xdr:rowOff>
    </xdr:from>
    <xdr:to>
      <xdr:col>1</xdr:col>
      <xdr:colOff>428625</xdr:colOff>
      <xdr:row>19</xdr:row>
      <xdr:rowOff>220</xdr:rowOff>
    </xdr:to>
    <xdr:pic>
      <xdr:nvPicPr>
        <xdr:cNvPr id="51" name="Billede 50">
          <a:hlinkClick xmlns:r="http://schemas.openxmlformats.org/officeDocument/2006/relationships" r:id="rId46"/>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964609"/>
          <a:ext cx="616364" cy="187959"/>
        </a:xfrm>
        <a:prstGeom prst="rect">
          <a:avLst/>
        </a:prstGeom>
      </xdr:spPr>
    </xdr:pic>
    <xdr:clientData/>
  </xdr:twoCellAnchor>
  <xdr:twoCellAnchor editAs="oneCell">
    <xdr:from>
      <xdr:col>0</xdr:col>
      <xdr:colOff>0</xdr:colOff>
      <xdr:row>19</xdr:row>
      <xdr:rowOff>19878</xdr:rowOff>
    </xdr:from>
    <xdr:to>
      <xdr:col>1</xdr:col>
      <xdr:colOff>428625</xdr:colOff>
      <xdr:row>20</xdr:row>
      <xdr:rowOff>9056</xdr:rowOff>
    </xdr:to>
    <xdr:pic>
      <xdr:nvPicPr>
        <xdr:cNvPr id="53" name="Billede 52">
          <a:hlinkClick xmlns:r="http://schemas.openxmlformats.org/officeDocument/2006/relationships" r:id="rId47"/>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172226"/>
          <a:ext cx="616364" cy="187959"/>
        </a:xfrm>
        <a:prstGeom prst="rect">
          <a:avLst/>
        </a:prstGeom>
      </xdr:spPr>
    </xdr:pic>
    <xdr:clientData/>
  </xdr:twoCellAnchor>
  <xdr:twoCellAnchor editAs="oneCell">
    <xdr:from>
      <xdr:col>0</xdr:col>
      <xdr:colOff>0</xdr:colOff>
      <xdr:row>20</xdr:row>
      <xdr:rowOff>0</xdr:rowOff>
    </xdr:from>
    <xdr:to>
      <xdr:col>1</xdr:col>
      <xdr:colOff>428625</xdr:colOff>
      <xdr:row>20</xdr:row>
      <xdr:rowOff>187959</xdr:rowOff>
    </xdr:to>
    <xdr:pic>
      <xdr:nvPicPr>
        <xdr:cNvPr id="54" name="Billede 53">
          <a:hlinkClick xmlns:r="http://schemas.openxmlformats.org/officeDocument/2006/relationships" r:id="rId48"/>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351130"/>
          <a:ext cx="616364" cy="187959"/>
        </a:xfrm>
        <a:prstGeom prst="rect">
          <a:avLst/>
        </a:prstGeom>
      </xdr:spPr>
    </xdr:pic>
    <xdr:clientData/>
  </xdr:twoCellAnchor>
  <xdr:twoCellAnchor editAs="oneCell">
    <xdr:from>
      <xdr:col>0</xdr:col>
      <xdr:colOff>0</xdr:colOff>
      <xdr:row>23</xdr:row>
      <xdr:rowOff>33130</xdr:rowOff>
    </xdr:from>
    <xdr:to>
      <xdr:col>1</xdr:col>
      <xdr:colOff>428625</xdr:colOff>
      <xdr:row>24</xdr:row>
      <xdr:rowOff>22306</xdr:rowOff>
    </xdr:to>
    <xdr:pic>
      <xdr:nvPicPr>
        <xdr:cNvPr id="55" name="Billede 54">
          <a:hlinkClick xmlns:r="http://schemas.openxmlformats.org/officeDocument/2006/relationships" r:id="rId49"/>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980608"/>
          <a:ext cx="616364" cy="187959"/>
        </a:xfrm>
        <a:prstGeom prst="rect">
          <a:avLst/>
        </a:prstGeom>
      </xdr:spPr>
    </xdr:pic>
    <xdr:clientData/>
  </xdr:twoCellAnchor>
  <xdr:twoCellAnchor editAs="oneCell">
    <xdr:from>
      <xdr:col>0</xdr:col>
      <xdr:colOff>0</xdr:colOff>
      <xdr:row>24</xdr:row>
      <xdr:rowOff>22087</xdr:rowOff>
    </xdr:from>
    <xdr:to>
      <xdr:col>1</xdr:col>
      <xdr:colOff>428625</xdr:colOff>
      <xdr:row>25</xdr:row>
      <xdr:rowOff>11265</xdr:rowOff>
    </xdr:to>
    <xdr:pic>
      <xdr:nvPicPr>
        <xdr:cNvPr id="56" name="Billede 55">
          <a:hlinkClick xmlns:r="http://schemas.openxmlformats.org/officeDocument/2006/relationships" r:id="rId10"/>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168348"/>
          <a:ext cx="616364" cy="187959"/>
        </a:xfrm>
        <a:prstGeom prst="rect">
          <a:avLst/>
        </a:prstGeom>
      </xdr:spPr>
    </xdr:pic>
    <xdr:clientData/>
  </xdr:twoCellAnchor>
  <xdr:twoCellAnchor editAs="oneCell">
    <xdr:from>
      <xdr:col>0</xdr:col>
      <xdr:colOff>0</xdr:colOff>
      <xdr:row>25</xdr:row>
      <xdr:rowOff>11044</xdr:rowOff>
    </xdr:from>
    <xdr:to>
      <xdr:col>1</xdr:col>
      <xdr:colOff>428625</xdr:colOff>
      <xdr:row>26</xdr:row>
      <xdr:rowOff>220</xdr:rowOff>
    </xdr:to>
    <xdr:pic>
      <xdr:nvPicPr>
        <xdr:cNvPr id="57" name="Billede 56">
          <a:hlinkClick xmlns:r="http://schemas.openxmlformats.org/officeDocument/2006/relationships" r:id="rId4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356087"/>
          <a:ext cx="616364" cy="187959"/>
        </a:xfrm>
        <a:prstGeom prst="rect">
          <a:avLst/>
        </a:prstGeom>
      </xdr:spPr>
    </xdr:pic>
    <xdr:clientData/>
  </xdr:twoCellAnchor>
  <xdr:twoCellAnchor editAs="oneCell">
    <xdr:from>
      <xdr:col>0</xdr:col>
      <xdr:colOff>0</xdr:colOff>
      <xdr:row>26</xdr:row>
      <xdr:rowOff>0</xdr:rowOff>
    </xdr:from>
    <xdr:to>
      <xdr:col>1</xdr:col>
      <xdr:colOff>428625</xdr:colOff>
      <xdr:row>26</xdr:row>
      <xdr:rowOff>200121</xdr:rowOff>
    </xdr:to>
    <xdr:pic>
      <xdr:nvPicPr>
        <xdr:cNvPr id="58" name="Billede 57">
          <a:hlinkClick xmlns:r="http://schemas.openxmlformats.org/officeDocument/2006/relationships" r:id="rId4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5543826"/>
          <a:ext cx="616364" cy="198783"/>
        </a:xfrm>
        <a:prstGeom prst="rect">
          <a:avLst/>
        </a:prstGeom>
      </xdr:spPr>
    </xdr:pic>
    <xdr:clientData/>
  </xdr:twoCellAnchor>
  <xdr:twoCellAnchor editAs="oneCell">
    <xdr:from>
      <xdr:col>0</xdr:col>
      <xdr:colOff>0</xdr:colOff>
      <xdr:row>22</xdr:row>
      <xdr:rowOff>33130</xdr:rowOff>
    </xdr:from>
    <xdr:to>
      <xdr:col>1</xdr:col>
      <xdr:colOff>428625</xdr:colOff>
      <xdr:row>23</xdr:row>
      <xdr:rowOff>22307</xdr:rowOff>
    </xdr:to>
    <xdr:pic>
      <xdr:nvPicPr>
        <xdr:cNvPr id="59" name="Billede 58">
          <a:hlinkClick xmlns:r="http://schemas.openxmlformats.org/officeDocument/2006/relationships" r:id="rId50"/>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781826"/>
          <a:ext cx="616364" cy="187959"/>
        </a:xfrm>
        <a:prstGeom prst="rect">
          <a:avLst/>
        </a:prstGeom>
      </xdr:spPr>
    </xdr:pic>
    <xdr:clientData/>
  </xdr:twoCellAnchor>
  <xdr:twoCellAnchor editAs="oneCell">
    <xdr:from>
      <xdr:col>0</xdr:col>
      <xdr:colOff>0</xdr:colOff>
      <xdr:row>40</xdr:row>
      <xdr:rowOff>11044</xdr:rowOff>
    </xdr:from>
    <xdr:to>
      <xdr:col>1</xdr:col>
      <xdr:colOff>428625</xdr:colOff>
      <xdr:row>41</xdr:row>
      <xdr:rowOff>3395</xdr:rowOff>
    </xdr:to>
    <xdr:pic>
      <xdr:nvPicPr>
        <xdr:cNvPr id="60" name="Billede 59">
          <a:hlinkClick xmlns:r="http://schemas.openxmlformats.org/officeDocument/2006/relationships" r:id="rId5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161131"/>
          <a:ext cx="616364" cy="191134"/>
        </a:xfrm>
        <a:prstGeom prst="rect">
          <a:avLst/>
        </a:prstGeom>
      </xdr:spPr>
    </xdr:pic>
    <xdr:clientData/>
  </xdr:twoCellAnchor>
  <xdr:twoCellAnchor editAs="oneCell">
    <xdr:from>
      <xdr:col>0</xdr:col>
      <xdr:colOff>0</xdr:colOff>
      <xdr:row>59</xdr:row>
      <xdr:rowOff>190500</xdr:rowOff>
    </xdr:from>
    <xdr:to>
      <xdr:col>1</xdr:col>
      <xdr:colOff>428625</xdr:colOff>
      <xdr:row>60</xdr:row>
      <xdr:rowOff>175258</xdr:rowOff>
    </xdr:to>
    <xdr:pic>
      <xdr:nvPicPr>
        <xdr:cNvPr id="61" name="Billede 60">
          <a:hlinkClick xmlns:r="http://schemas.openxmlformats.org/officeDocument/2006/relationships" r:id="rId52"/>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123543"/>
          <a:ext cx="616364" cy="183542"/>
        </a:xfrm>
        <a:prstGeom prst="rect">
          <a:avLst/>
        </a:prstGeom>
      </xdr:spPr>
    </xdr:pic>
    <xdr:clientData/>
  </xdr:twoCellAnchor>
  <xdr:twoCellAnchor editAs="oneCell">
    <xdr:from>
      <xdr:col>0</xdr:col>
      <xdr:colOff>0</xdr:colOff>
      <xdr:row>58</xdr:row>
      <xdr:rowOff>177800</xdr:rowOff>
    </xdr:from>
    <xdr:to>
      <xdr:col>1</xdr:col>
      <xdr:colOff>428625</xdr:colOff>
      <xdr:row>59</xdr:row>
      <xdr:rowOff>162559</xdr:rowOff>
    </xdr:to>
    <xdr:pic>
      <xdr:nvPicPr>
        <xdr:cNvPr id="62" name="Billede 61">
          <a:hlinkClick xmlns:r="http://schemas.openxmlformats.org/officeDocument/2006/relationships" r:id="rId32"/>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912061"/>
          <a:ext cx="616364" cy="183541"/>
        </a:xfrm>
        <a:prstGeom prst="rect">
          <a:avLst/>
        </a:prstGeom>
      </xdr:spPr>
    </xdr:pic>
    <xdr:clientData/>
  </xdr:twoCellAnchor>
  <xdr:twoCellAnchor editAs="oneCell">
    <xdr:from>
      <xdr:col>0</xdr:col>
      <xdr:colOff>0</xdr:colOff>
      <xdr:row>55</xdr:row>
      <xdr:rowOff>2760</xdr:rowOff>
    </xdr:from>
    <xdr:to>
      <xdr:col>1</xdr:col>
      <xdr:colOff>428625</xdr:colOff>
      <xdr:row>55</xdr:row>
      <xdr:rowOff>186302</xdr:rowOff>
    </xdr:to>
    <xdr:pic>
      <xdr:nvPicPr>
        <xdr:cNvPr id="63" name="Billede 62">
          <a:hlinkClick xmlns:r="http://schemas.openxmlformats.org/officeDocument/2006/relationships" r:id="rId53"/>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3369"/>
          <a:ext cx="616364" cy="183542"/>
        </a:xfrm>
        <a:prstGeom prst="rect">
          <a:avLst/>
        </a:prstGeom>
      </xdr:spPr>
    </xdr:pic>
    <xdr:clientData/>
  </xdr:twoCellAnchor>
  <xdr:twoCellAnchor editAs="oneCell">
    <xdr:from>
      <xdr:col>0</xdr:col>
      <xdr:colOff>12700</xdr:colOff>
      <xdr:row>62</xdr:row>
      <xdr:rowOff>187739</xdr:rowOff>
    </xdr:from>
    <xdr:to>
      <xdr:col>1</xdr:col>
      <xdr:colOff>441325</xdr:colOff>
      <xdr:row>63</xdr:row>
      <xdr:rowOff>176916</xdr:rowOff>
    </xdr:to>
    <xdr:pic>
      <xdr:nvPicPr>
        <xdr:cNvPr id="65" name="Billede 64">
          <a:hlinkClick xmlns:r="http://schemas.openxmlformats.org/officeDocument/2006/relationships" r:id="rId54"/>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700" y="12909826"/>
          <a:ext cx="616364" cy="1879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516472</xdr:colOff>
      <xdr:row>0</xdr:row>
      <xdr:rowOff>9525</xdr:rowOff>
    </xdr:from>
    <xdr:to>
      <xdr:col>4</xdr:col>
      <xdr:colOff>445552</xdr:colOff>
      <xdr:row>0</xdr:row>
      <xdr:rowOff>300634</xdr:rowOff>
    </xdr:to>
    <xdr:pic>
      <xdr:nvPicPr>
        <xdr:cNvPr id="9" name="Billede 8">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rcRect/>
        <a:stretch/>
      </xdr:blipFill>
      <xdr:spPr>
        <a:xfrm>
          <a:off x="2345982" y="9525"/>
          <a:ext cx="1802997" cy="291109"/>
        </a:xfrm>
        <a:prstGeom prst="rect">
          <a:avLst/>
        </a:prstGeom>
      </xdr:spPr>
    </xdr:pic>
    <xdr:clientData/>
  </xdr:twoCellAnchor>
  <xdr:twoCellAnchor editAs="oneCell">
    <xdr:from>
      <xdr:col>0</xdr:col>
      <xdr:colOff>282638</xdr:colOff>
      <xdr:row>0</xdr:row>
      <xdr:rowOff>28575</xdr:rowOff>
    </xdr:from>
    <xdr:to>
      <xdr:col>2</xdr:col>
      <xdr:colOff>3111</xdr:colOff>
      <xdr:row>0</xdr:row>
      <xdr:rowOff>301629</xdr:rowOff>
    </xdr:to>
    <xdr:pic>
      <xdr:nvPicPr>
        <xdr:cNvPr id="10" name="Billede 9">
          <a:hlinkClick xmlns:r="http://schemas.openxmlformats.org/officeDocument/2006/relationships" r:id="rId3"/>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srcRect/>
        <a:stretch/>
      </xdr:blipFill>
      <xdr:spPr>
        <a:xfrm>
          <a:off x="282638" y="28575"/>
          <a:ext cx="1549983" cy="273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248653</xdr:colOff>
      <xdr:row>0</xdr:row>
      <xdr:rowOff>28575</xdr:rowOff>
    </xdr:from>
    <xdr:to>
      <xdr:col>2</xdr:col>
      <xdr:colOff>443496</xdr:colOff>
      <xdr:row>0</xdr:row>
      <xdr:rowOff>301629</xdr:rowOff>
    </xdr:to>
    <xdr:pic>
      <xdr:nvPicPr>
        <xdr:cNvPr id="13" name="Billede 12">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srcRect/>
        <a:stretch/>
      </xdr:blipFill>
      <xdr:spPr>
        <a:xfrm>
          <a:off x="248653" y="28575"/>
          <a:ext cx="1549983" cy="273054"/>
        </a:xfrm>
        <a:prstGeom prst="rect">
          <a:avLst/>
        </a:prstGeom>
      </xdr:spPr>
    </xdr:pic>
    <xdr:clientData/>
  </xdr:twoCellAnchor>
  <xdr:twoCellAnchor editAs="oneCell">
    <xdr:from>
      <xdr:col>2</xdr:col>
      <xdr:colOff>753069</xdr:colOff>
      <xdr:row>0</xdr:row>
      <xdr:rowOff>9525</xdr:rowOff>
    </xdr:from>
    <xdr:to>
      <xdr:col>4</xdr:col>
      <xdr:colOff>789418</xdr:colOff>
      <xdr:row>0</xdr:row>
      <xdr:rowOff>300634</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rcRect/>
        <a:stretch/>
      </xdr:blipFill>
      <xdr:spPr>
        <a:xfrm>
          <a:off x="2108209" y="9525"/>
          <a:ext cx="1802997" cy="2911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1076325</xdr:colOff>
      <xdr:row>24</xdr:row>
      <xdr:rowOff>60325</xdr:rowOff>
    </xdr:from>
    <xdr:to>
      <xdr:col>29</xdr:col>
      <xdr:colOff>1346200</xdr:colOff>
      <xdr:row>33</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25028525" y="5203825"/>
          <a:ext cx="269875" cy="2378075"/>
        </a:xfrm>
        <a:prstGeom prst="rightBrace">
          <a:avLst>
            <a:gd name="adj1" fmla="val 8233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29</xdr:col>
      <xdr:colOff>1498600</xdr:colOff>
      <xdr:row>25</xdr:row>
      <xdr:rowOff>0</xdr:rowOff>
    </xdr:from>
    <xdr:to>
      <xdr:col>29</xdr:col>
      <xdr:colOff>2672129</xdr:colOff>
      <xdr:row>31</xdr:row>
      <xdr:rowOff>76200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11890375" y="4292600"/>
          <a:ext cx="1173529" cy="161290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da-DK" sz="1100" b="0" i="0" u="none" strike="noStrike" baseline="0">
              <a:solidFill>
                <a:srgbClr val="000000"/>
              </a:solidFill>
              <a:latin typeface="Verdana"/>
              <a:ea typeface="Verdana"/>
              <a:cs typeface="Verdana"/>
            </a:rPr>
            <a:t>Alle beløb indtastes i 2012</a:t>
          </a:r>
        </a:p>
        <a:p>
          <a:pPr algn="l" rtl="0">
            <a:lnSpc>
              <a:spcPts val="1200"/>
            </a:lnSpc>
            <a:defRPr sz="1000"/>
          </a:pPr>
          <a:r>
            <a:rPr lang="da-DK" sz="1100" b="0" i="0" u="none" strike="noStrike" baseline="0">
              <a:solidFill>
                <a:srgbClr val="000000"/>
              </a:solidFill>
              <a:latin typeface="Verdana"/>
              <a:ea typeface="Verdana"/>
              <a:cs typeface="Verdana"/>
            </a:rPr>
            <a:t>-grundbeløb pr. år, så omregnes de automatisk til aktuel løn pr. md.</a:t>
          </a:r>
        </a:p>
        <a:p>
          <a:pPr algn="l" rtl="0">
            <a:lnSpc>
              <a:spcPts val="1100"/>
            </a:lnSpc>
            <a:defRPr sz="1000"/>
          </a:pPr>
          <a:r>
            <a:rPr lang="da-DK" sz="1100" b="0" i="0" u="none" strike="noStrike" baseline="0">
              <a:solidFill>
                <a:srgbClr val="000000"/>
              </a:solidFill>
              <a:latin typeface="Verdana"/>
              <a:ea typeface="Verdana"/>
              <a:cs typeface="Verdana"/>
            </a:rPr>
            <a:t>Lin. 17-20 ganges med BG!</a:t>
          </a:r>
        </a:p>
      </xdr:txBody>
    </xdr:sp>
    <xdr:clientData/>
  </xdr:twoCellAnchor>
  <xdr:twoCellAnchor editAs="oneCell">
    <xdr:from>
      <xdr:col>0</xdr:col>
      <xdr:colOff>181784</xdr:colOff>
      <xdr:row>0</xdr:row>
      <xdr:rowOff>28575</xdr:rowOff>
    </xdr:from>
    <xdr:to>
      <xdr:col>1</xdr:col>
      <xdr:colOff>1434290</xdr:colOff>
      <xdr:row>0</xdr:row>
      <xdr:rowOff>301629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xdr:blipFill>
      <xdr:spPr>
        <a:xfrm>
          <a:off x="181784" y="28575"/>
          <a:ext cx="1549983" cy="273054"/>
        </a:xfrm>
        <a:prstGeom prst="rect">
          <a:avLst/>
        </a:prstGeom>
      </xdr:spPr>
    </xdr:pic>
    <xdr:clientData/>
  </xdr:twoCellAnchor>
  <xdr:twoCellAnchor editAs="oneCell">
    <xdr:from>
      <xdr:col>1</xdr:col>
      <xdr:colOff>1827414</xdr:colOff>
      <xdr:row>0</xdr:row>
      <xdr:rowOff>9525</xdr:rowOff>
    </xdr:from>
    <xdr:to>
      <xdr:col>1</xdr:col>
      <xdr:colOff>3630411</xdr:colOff>
      <xdr:row>0</xdr:row>
      <xdr:rowOff>300634</xdr:rowOff>
    </xdr:to>
    <xdr:pic>
      <xdr:nvPicPr>
        <xdr:cNvPr id="12" name="Billede 11">
          <a:hlinkClick xmlns:r="http://schemas.openxmlformats.org/officeDocument/2006/relationships" r:id="rId3"/>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srcRect/>
        <a:stretch/>
      </xdr:blipFill>
      <xdr:spPr>
        <a:xfrm>
          <a:off x="2124891" y="9525"/>
          <a:ext cx="1802997" cy="2911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179096</xdr:colOff>
      <xdr:row>1</xdr:row>
      <xdr:rowOff>28575</xdr:rowOff>
    </xdr:from>
    <xdr:to>
      <xdr:col>1</xdr:col>
      <xdr:colOff>1449679</xdr:colOff>
      <xdr:row>1</xdr:row>
      <xdr:rowOff>301629</xdr:rowOff>
    </xdr:to>
    <xdr:pic>
      <xdr:nvPicPr>
        <xdr:cNvPr id="8" name="Billede 7">
          <a:hlinkClick xmlns:r="http://schemas.openxmlformats.org/officeDocument/2006/relationships" r:id="rId1"/>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rcRect/>
        <a:stretch/>
      </xdr:blipFill>
      <xdr:spPr>
        <a:xfrm>
          <a:off x="179096" y="193675"/>
          <a:ext cx="1549983" cy="273054"/>
        </a:xfrm>
        <a:prstGeom prst="rect">
          <a:avLst/>
        </a:prstGeom>
      </xdr:spPr>
    </xdr:pic>
    <xdr:clientData/>
  </xdr:twoCellAnchor>
  <xdr:twoCellAnchor editAs="oneCell">
    <xdr:from>
      <xdr:col>1</xdr:col>
      <xdr:colOff>1840114</xdr:colOff>
      <xdr:row>1</xdr:row>
      <xdr:rowOff>9525</xdr:rowOff>
    </xdr:from>
    <xdr:to>
      <xdr:col>1</xdr:col>
      <xdr:colOff>3643111</xdr:colOff>
      <xdr:row>1</xdr:row>
      <xdr:rowOff>300634</xdr:rowOff>
    </xdr:to>
    <xdr:pic>
      <xdr:nvPicPr>
        <xdr:cNvPr id="10" name="Billede 9">
          <a:hlinkClick xmlns:r="http://schemas.openxmlformats.org/officeDocument/2006/relationships" r:id="rId3"/>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rcRect/>
        <a:stretch/>
      </xdr:blipFill>
      <xdr:spPr>
        <a:xfrm>
          <a:off x="2119514" y="174625"/>
          <a:ext cx="1802997" cy="291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19050</xdr:colOff>
      <xdr:row>19</xdr:row>
      <xdr:rowOff>57150</xdr:rowOff>
    </xdr:from>
    <xdr:to>
      <xdr:col>4</xdr:col>
      <xdr:colOff>19050</xdr:colOff>
      <xdr:row>19</xdr:row>
      <xdr:rowOff>114300</xdr:rowOff>
    </xdr:to>
    <xdr:sp macro="" textlink="">
      <xdr:nvSpPr>
        <xdr:cNvPr id="549147" name="Line 2">
          <a:extLst>
            <a:ext uri="{FF2B5EF4-FFF2-40B4-BE49-F238E27FC236}">
              <a16:creationId xmlns:a16="http://schemas.microsoft.com/office/drawing/2014/main" id="{00000000-0008-0000-0A00-00001B610800}"/>
            </a:ext>
          </a:extLst>
        </xdr:cNvPr>
        <xdr:cNvSpPr>
          <a:spLocks noChangeShapeType="1"/>
        </xdr:cNvSpPr>
      </xdr:nvSpPr>
      <xdr:spPr bwMode="auto">
        <a:xfrm flipV="1">
          <a:off x="4248150" y="2971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25</xdr:row>
      <xdr:rowOff>57150</xdr:rowOff>
    </xdr:from>
    <xdr:to>
      <xdr:col>4</xdr:col>
      <xdr:colOff>19050</xdr:colOff>
      <xdr:row>25</xdr:row>
      <xdr:rowOff>114300</xdr:rowOff>
    </xdr:to>
    <xdr:sp macro="" textlink="">
      <xdr:nvSpPr>
        <xdr:cNvPr id="549149" name="Line 4">
          <a:extLst>
            <a:ext uri="{FF2B5EF4-FFF2-40B4-BE49-F238E27FC236}">
              <a16:creationId xmlns:a16="http://schemas.microsoft.com/office/drawing/2014/main" id="{00000000-0008-0000-0A00-00001D610800}"/>
            </a:ext>
          </a:extLst>
        </xdr:cNvPr>
        <xdr:cNvSpPr>
          <a:spLocks noChangeShapeType="1"/>
        </xdr:cNvSpPr>
      </xdr:nvSpPr>
      <xdr:spPr bwMode="auto">
        <a:xfrm flipV="1">
          <a:off x="4248150" y="5067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31</xdr:row>
      <xdr:rowOff>57150</xdr:rowOff>
    </xdr:from>
    <xdr:to>
      <xdr:col>4</xdr:col>
      <xdr:colOff>19050</xdr:colOff>
      <xdr:row>31</xdr:row>
      <xdr:rowOff>114300</xdr:rowOff>
    </xdr:to>
    <xdr:sp macro="" textlink="">
      <xdr:nvSpPr>
        <xdr:cNvPr id="549151" name="Line 6">
          <a:extLst>
            <a:ext uri="{FF2B5EF4-FFF2-40B4-BE49-F238E27FC236}">
              <a16:creationId xmlns:a16="http://schemas.microsoft.com/office/drawing/2014/main" id="{00000000-0008-0000-0A00-00001F610800}"/>
            </a:ext>
          </a:extLst>
        </xdr:cNvPr>
        <xdr:cNvSpPr>
          <a:spLocks noChangeShapeType="1"/>
        </xdr:cNvSpPr>
      </xdr:nvSpPr>
      <xdr:spPr bwMode="auto">
        <a:xfrm flipV="1">
          <a:off x="4248150" y="5829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62</xdr:row>
      <xdr:rowOff>57150</xdr:rowOff>
    </xdr:from>
    <xdr:to>
      <xdr:col>4</xdr:col>
      <xdr:colOff>19050</xdr:colOff>
      <xdr:row>62</xdr:row>
      <xdr:rowOff>114300</xdr:rowOff>
    </xdr:to>
    <xdr:sp macro="" textlink="">
      <xdr:nvSpPr>
        <xdr:cNvPr id="549153" name="Line 8">
          <a:extLst>
            <a:ext uri="{FF2B5EF4-FFF2-40B4-BE49-F238E27FC236}">
              <a16:creationId xmlns:a16="http://schemas.microsoft.com/office/drawing/2014/main" id="{00000000-0008-0000-0A00-000021610800}"/>
            </a:ext>
          </a:extLst>
        </xdr:cNvPr>
        <xdr:cNvSpPr>
          <a:spLocks noChangeShapeType="1"/>
        </xdr:cNvSpPr>
      </xdr:nvSpPr>
      <xdr:spPr bwMode="auto">
        <a:xfrm flipV="1">
          <a:off x="4248150" y="7543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71</xdr:row>
      <xdr:rowOff>57150</xdr:rowOff>
    </xdr:from>
    <xdr:to>
      <xdr:col>4</xdr:col>
      <xdr:colOff>19050</xdr:colOff>
      <xdr:row>71</xdr:row>
      <xdr:rowOff>114300</xdr:rowOff>
    </xdr:to>
    <xdr:sp macro="" textlink="">
      <xdr:nvSpPr>
        <xdr:cNvPr id="549155" name="Line 10">
          <a:extLst>
            <a:ext uri="{FF2B5EF4-FFF2-40B4-BE49-F238E27FC236}">
              <a16:creationId xmlns:a16="http://schemas.microsoft.com/office/drawing/2014/main" id="{00000000-0008-0000-0A00-000023610800}"/>
            </a:ext>
          </a:extLst>
        </xdr:cNvPr>
        <xdr:cNvSpPr>
          <a:spLocks noChangeShapeType="1"/>
        </xdr:cNvSpPr>
      </xdr:nvSpPr>
      <xdr:spPr bwMode="auto">
        <a:xfrm flipV="1">
          <a:off x="4248150" y="92583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85</xdr:row>
      <xdr:rowOff>57150</xdr:rowOff>
    </xdr:from>
    <xdr:to>
      <xdr:col>4</xdr:col>
      <xdr:colOff>19050</xdr:colOff>
      <xdr:row>85</xdr:row>
      <xdr:rowOff>114300</xdr:rowOff>
    </xdr:to>
    <xdr:sp macro="" textlink="">
      <xdr:nvSpPr>
        <xdr:cNvPr id="549157" name="Line 14">
          <a:extLst>
            <a:ext uri="{FF2B5EF4-FFF2-40B4-BE49-F238E27FC236}">
              <a16:creationId xmlns:a16="http://schemas.microsoft.com/office/drawing/2014/main" id="{00000000-0008-0000-0A00-000025610800}"/>
            </a:ext>
          </a:extLst>
        </xdr:cNvPr>
        <xdr:cNvSpPr>
          <a:spLocks noChangeShapeType="1"/>
        </xdr:cNvSpPr>
      </xdr:nvSpPr>
      <xdr:spPr bwMode="auto">
        <a:xfrm flipV="1">
          <a:off x="4248150" y="10582275"/>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91</xdr:row>
      <xdr:rowOff>57150</xdr:rowOff>
    </xdr:from>
    <xdr:to>
      <xdr:col>4</xdr:col>
      <xdr:colOff>19050</xdr:colOff>
      <xdr:row>91</xdr:row>
      <xdr:rowOff>142875</xdr:rowOff>
    </xdr:to>
    <xdr:sp macro="" textlink="">
      <xdr:nvSpPr>
        <xdr:cNvPr id="549159" name="Line 18">
          <a:extLst>
            <a:ext uri="{FF2B5EF4-FFF2-40B4-BE49-F238E27FC236}">
              <a16:creationId xmlns:a16="http://schemas.microsoft.com/office/drawing/2014/main" id="{00000000-0008-0000-0A00-000027610800}"/>
            </a:ext>
          </a:extLst>
        </xdr:cNvPr>
        <xdr:cNvSpPr>
          <a:spLocks noChangeShapeType="1"/>
        </xdr:cNvSpPr>
      </xdr:nvSpPr>
      <xdr:spPr bwMode="auto">
        <a:xfrm flipV="1">
          <a:off x="4248150" y="11725275"/>
          <a:ext cx="0" cy="85725"/>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58</xdr:row>
      <xdr:rowOff>57150</xdr:rowOff>
    </xdr:from>
    <xdr:to>
      <xdr:col>4</xdr:col>
      <xdr:colOff>19050</xdr:colOff>
      <xdr:row>58</xdr:row>
      <xdr:rowOff>114300</xdr:rowOff>
    </xdr:to>
    <xdr:sp macro="" textlink="">
      <xdr:nvSpPr>
        <xdr:cNvPr id="549163" name="Line 25">
          <a:extLst>
            <a:ext uri="{FF2B5EF4-FFF2-40B4-BE49-F238E27FC236}">
              <a16:creationId xmlns:a16="http://schemas.microsoft.com/office/drawing/2014/main" id="{00000000-0008-0000-0A00-00002B610800}"/>
            </a:ext>
          </a:extLst>
        </xdr:cNvPr>
        <xdr:cNvSpPr>
          <a:spLocks noChangeShapeType="1"/>
        </xdr:cNvSpPr>
      </xdr:nvSpPr>
      <xdr:spPr bwMode="auto">
        <a:xfrm flipV="1">
          <a:off x="4248150" y="67818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128</xdr:row>
      <xdr:rowOff>57150</xdr:rowOff>
    </xdr:from>
    <xdr:to>
      <xdr:col>4</xdr:col>
      <xdr:colOff>19050</xdr:colOff>
      <xdr:row>128</xdr:row>
      <xdr:rowOff>114300</xdr:rowOff>
    </xdr:to>
    <xdr:sp macro="" textlink="">
      <xdr:nvSpPr>
        <xdr:cNvPr id="549167" name="Line 29">
          <a:extLst>
            <a:ext uri="{FF2B5EF4-FFF2-40B4-BE49-F238E27FC236}">
              <a16:creationId xmlns:a16="http://schemas.microsoft.com/office/drawing/2014/main" id="{00000000-0008-0000-0A00-00002F610800}"/>
            </a:ext>
          </a:extLst>
        </xdr:cNvPr>
        <xdr:cNvSpPr>
          <a:spLocks noChangeShapeType="1"/>
        </xdr:cNvSpPr>
      </xdr:nvSpPr>
      <xdr:spPr bwMode="auto">
        <a:xfrm flipV="1">
          <a:off x="4248150" y="1489710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111</xdr:row>
      <xdr:rowOff>57150</xdr:rowOff>
    </xdr:from>
    <xdr:to>
      <xdr:col>4</xdr:col>
      <xdr:colOff>19050</xdr:colOff>
      <xdr:row>111</xdr:row>
      <xdr:rowOff>114300</xdr:rowOff>
    </xdr:to>
    <xdr:sp macro="" textlink="">
      <xdr:nvSpPr>
        <xdr:cNvPr id="549170" name="Line 27">
          <a:extLst>
            <a:ext uri="{FF2B5EF4-FFF2-40B4-BE49-F238E27FC236}">
              <a16:creationId xmlns:a16="http://schemas.microsoft.com/office/drawing/2014/main" id="{00000000-0008-0000-0A00-000032610800}"/>
            </a:ext>
          </a:extLst>
        </xdr:cNvPr>
        <xdr:cNvSpPr>
          <a:spLocks noChangeShapeType="1"/>
        </xdr:cNvSpPr>
      </xdr:nvSpPr>
      <xdr:spPr bwMode="auto">
        <a:xfrm flipV="1">
          <a:off x="4248150" y="13058775"/>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editAs="oneCell">
    <xdr:from>
      <xdr:col>0</xdr:col>
      <xdr:colOff>187033</xdr:colOff>
      <xdr:row>0</xdr:row>
      <xdr:rowOff>28575</xdr:rowOff>
    </xdr:from>
    <xdr:to>
      <xdr:col>2</xdr:col>
      <xdr:colOff>721016</xdr:colOff>
      <xdr:row>0</xdr:row>
      <xdr:rowOff>301629</xdr:rowOff>
    </xdr:to>
    <xdr:pic>
      <xdr:nvPicPr>
        <xdr:cNvPr id="33" name="Billede 32">
          <a:hlinkClick xmlns:r="http://schemas.openxmlformats.org/officeDocument/2006/relationships" r:id="rId1"/>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2"/>
        <a:srcRect/>
        <a:stretch/>
      </xdr:blipFill>
      <xdr:spPr>
        <a:xfrm>
          <a:off x="187033" y="28575"/>
          <a:ext cx="1549983" cy="273054"/>
        </a:xfrm>
        <a:prstGeom prst="rect">
          <a:avLst/>
        </a:prstGeom>
      </xdr:spPr>
    </xdr:pic>
    <xdr:clientData/>
  </xdr:twoCellAnchor>
  <xdr:twoCellAnchor editAs="oneCell">
    <xdr:from>
      <xdr:col>2</xdr:col>
      <xdr:colOff>1814714</xdr:colOff>
      <xdr:row>0</xdr:row>
      <xdr:rowOff>9525</xdr:rowOff>
    </xdr:from>
    <xdr:to>
      <xdr:col>2</xdr:col>
      <xdr:colOff>3617711</xdr:colOff>
      <xdr:row>0</xdr:row>
      <xdr:rowOff>300634</xdr:rowOff>
    </xdr:to>
    <xdr:pic>
      <xdr:nvPicPr>
        <xdr:cNvPr id="45" name="Billede 44">
          <a:hlinkClick xmlns:r="http://schemas.openxmlformats.org/officeDocument/2006/relationships" r:id="rId3"/>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4"/>
        <a:srcRect/>
        <a:stretch/>
      </xdr:blipFill>
      <xdr:spPr>
        <a:xfrm>
          <a:off x="2830714" y="9525"/>
          <a:ext cx="1802997" cy="291109"/>
        </a:xfrm>
        <a:prstGeom prst="rect">
          <a:avLst/>
        </a:prstGeom>
      </xdr:spPr>
    </xdr:pic>
    <xdr:clientData/>
  </xdr:twoCellAnchor>
  <xdr:twoCellAnchor>
    <xdr:from>
      <xdr:col>4</xdr:col>
      <xdr:colOff>19050</xdr:colOff>
      <xdr:row>38</xdr:row>
      <xdr:rowOff>57150</xdr:rowOff>
    </xdr:from>
    <xdr:to>
      <xdr:col>4</xdr:col>
      <xdr:colOff>19050</xdr:colOff>
      <xdr:row>38</xdr:row>
      <xdr:rowOff>114300</xdr:rowOff>
    </xdr:to>
    <xdr:sp macro="" textlink="">
      <xdr:nvSpPr>
        <xdr:cNvPr id="29" name="Line 25">
          <a:extLst>
            <a:ext uri="{FF2B5EF4-FFF2-40B4-BE49-F238E27FC236}">
              <a16:creationId xmlns:a16="http://schemas.microsoft.com/office/drawing/2014/main" id="{00000000-0008-0000-0A00-00001D000000}"/>
            </a:ext>
          </a:extLst>
        </xdr:cNvPr>
        <xdr:cNvSpPr>
          <a:spLocks noChangeShapeType="1"/>
        </xdr:cNvSpPr>
      </xdr:nvSpPr>
      <xdr:spPr bwMode="auto">
        <a:xfrm flipV="1">
          <a:off x="5200650" y="80581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51</xdr:row>
      <xdr:rowOff>57150</xdr:rowOff>
    </xdr:from>
    <xdr:to>
      <xdr:col>4</xdr:col>
      <xdr:colOff>19050</xdr:colOff>
      <xdr:row>51</xdr:row>
      <xdr:rowOff>114300</xdr:rowOff>
    </xdr:to>
    <xdr:sp macro="" textlink="">
      <xdr:nvSpPr>
        <xdr:cNvPr id="34" name="Line 25">
          <a:extLst>
            <a:ext uri="{FF2B5EF4-FFF2-40B4-BE49-F238E27FC236}">
              <a16:creationId xmlns:a16="http://schemas.microsoft.com/office/drawing/2014/main" id="{00000000-0008-0000-0A00-000022000000}"/>
            </a:ext>
          </a:extLst>
        </xdr:cNvPr>
        <xdr:cNvSpPr>
          <a:spLocks noChangeShapeType="1"/>
        </xdr:cNvSpPr>
      </xdr:nvSpPr>
      <xdr:spPr bwMode="auto">
        <a:xfrm flipV="1">
          <a:off x="5200650" y="75247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108</xdr:row>
      <xdr:rowOff>57150</xdr:rowOff>
    </xdr:from>
    <xdr:to>
      <xdr:col>4</xdr:col>
      <xdr:colOff>19050</xdr:colOff>
      <xdr:row>108</xdr:row>
      <xdr:rowOff>114300</xdr:rowOff>
    </xdr:to>
    <xdr:sp macro="" textlink="">
      <xdr:nvSpPr>
        <xdr:cNvPr id="48" name="Line 2">
          <a:extLst>
            <a:ext uri="{FF2B5EF4-FFF2-40B4-BE49-F238E27FC236}">
              <a16:creationId xmlns:a16="http://schemas.microsoft.com/office/drawing/2014/main" id="{00000000-0008-0000-0A00-000030000000}"/>
            </a:ext>
          </a:extLst>
        </xdr:cNvPr>
        <xdr:cNvSpPr>
          <a:spLocks noChangeShapeType="1"/>
        </xdr:cNvSpPr>
      </xdr:nvSpPr>
      <xdr:spPr bwMode="auto">
        <a:xfrm flipV="1">
          <a:off x="5200650" y="4146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19</xdr:row>
      <xdr:rowOff>57150</xdr:rowOff>
    </xdr:from>
    <xdr:to>
      <xdr:col>5</xdr:col>
      <xdr:colOff>19050</xdr:colOff>
      <xdr:row>19</xdr:row>
      <xdr:rowOff>114300</xdr:rowOff>
    </xdr:to>
    <xdr:sp macro="" textlink="">
      <xdr:nvSpPr>
        <xdr:cNvPr id="49" name="Line 2">
          <a:extLst>
            <a:ext uri="{FF2B5EF4-FFF2-40B4-BE49-F238E27FC236}">
              <a16:creationId xmlns:a16="http://schemas.microsoft.com/office/drawing/2014/main" id="{8887068B-3922-6F4D-91DB-C07D3C4B27A4}"/>
            </a:ext>
          </a:extLst>
        </xdr:cNvPr>
        <xdr:cNvSpPr>
          <a:spLocks noChangeShapeType="1"/>
        </xdr:cNvSpPr>
      </xdr:nvSpPr>
      <xdr:spPr bwMode="auto">
        <a:xfrm flipV="1">
          <a:off x="5920317" y="46884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25</xdr:row>
      <xdr:rowOff>57150</xdr:rowOff>
    </xdr:from>
    <xdr:to>
      <xdr:col>5</xdr:col>
      <xdr:colOff>19050</xdr:colOff>
      <xdr:row>25</xdr:row>
      <xdr:rowOff>114300</xdr:rowOff>
    </xdr:to>
    <xdr:sp macro="" textlink="">
      <xdr:nvSpPr>
        <xdr:cNvPr id="50" name="Line 4">
          <a:extLst>
            <a:ext uri="{FF2B5EF4-FFF2-40B4-BE49-F238E27FC236}">
              <a16:creationId xmlns:a16="http://schemas.microsoft.com/office/drawing/2014/main" id="{93B49B8B-5596-CF48-8D33-1F9CE546851B}"/>
            </a:ext>
          </a:extLst>
        </xdr:cNvPr>
        <xdr:cNvSpPr>
          <a:spLocks noChangeShapeType="1"/>
        </xdr:cNvSpPr>
      </xdr:nvSpPr>
      <xdr:spPr bwMode="auto">
        <a:xfrm flipV="1">
          <a:off x="5920317" y="5941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31</xdr:row>
      <xdr:rowOff>57150</xdr:rowOff>
    </xdr:from>
    <xdr:to>
      <xdr:col>5</xdr:col>
      <xdr:colOff>19050</xdr:colOff>
      <xdr:row>31</xdr:row>
      <xdr:rowOff>114300</xdr:rowOff>
    </xdr:to>
    <xdr:sp macro="" textlink="">
      <xdr:nvSpPr>
        <xdr:cNvPr id="51" name="Line 6">
          <a:extLst>
            <a:ext uri="{FF2B5EF4-FFF2-40B4-BE49-F238E27FC236}">
              <a16:creationId xmlns:a16="http://schemas.microsoft.com/office/drawing/2014/main" id="{232819AB-EF8D-D04F-BA15-859DA4028A9A}"/>
            </a:ext>
          </a:extLst>
        </xdr:cNvPr>
        <xdr:cNvSpPr>
          <a:spLocks noChangeShapeType="1"/>
        </xdr:cNvSpPr>
      </xdr:nvSpPr>
      <xdr:spPr bwMode="auto">
        <a:xfrm flipV="1">
          <a:off x="5920317" y="71776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38</xdr:row>
      <xdr:rowOff>57150</xdr:rowOff>
    </xdr:from>
    <xdr:to>
      <xdr:col>5</xdr:col>
      <xdr:colOff>19050</xdr:colOff>
      <xdr:row>38</xdr:row>
      <xdr:rowOff>114300</xdr:rowOff>
    </xdr:to>
    <xdr:sp macro="" textlink="">
      <xdr:nvSpPr>
        <xdr:cNvPr id="52" name="Line 25">
          <a:extLst>
            <a:ext uri="{FF2B5EF4-FFF2-40B4-BE49-F238E27FC236}">
              <a16:creationId xmlns:a16="http://schemas.microsoft.com/office/drawing/2014/main" id="{CE044A47-EE66-0840-AA70-F173D915EC83}"/>
            </a:ext>
          </a:extLst>
        </xdr:cNvPr>
        <xdr:cNvSpPr>
          <a:spLocks noChangeShapeType="1"/>
        </xdr:cNvSpPr>
      </xdr:nvSpPr>
      <xdr:spPr bwMode="auto">
        <a:xfrm flipV="1">
          <a:off x="5920317" y="86169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51</xdr:row>
      <xdr:rowOff>57150</xdr:rowOff>
    </xdr:from>
    <xdr:to>
      <xdr:col>5</xdr:col>
      <xdr:colOff>19050</xdr:colOff>
      <xdr:row>51</xdr:row>
      <xdr:rowOff>114300</xdr:rowOff>
    </xdr:to>
    <xdr:sp macro="" textlink="">
      <xdr:nvSpPr>
        <xdr:cNvPr id="53" name="Line 25">
          <a:extLst>
            <a:ext uri="{FF2B5EF4-FFF2-40B4-BE49-F238E27FC236}">
              <a16:creationId xmlns:a16="http://schemas.microsoft.com/office/drawing/2014/main" id="{203FE942-A6BB-F946-8869-F0471C7F92F0}"/>
            </a:ext>
          </a:extLst>
        </xdr:cNvPr>
        <xdr:cNvSpPr>
          <a:spLocks noChangeShapeType="1"/>
        </xdr:cNvSpPr>
      </xdr:nvSpPr>
      <xdr:spPr bwMode="auto">
        <a:xfrm flipV="1">
          <a:off x="5920317" y="11275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58</xdr:row>
      <xdr:rowOff>57150</xdr:rowOff>
    </xdr:from>
    <xdr:to>
      <xdr:col>5</xdr:col>
      <xdr:colOff>19050</xdr:colOff>
      <xdr:row>58</xdr:row>
      <xdr:rowOff>114300</xdr:rowOff>
    </xdr:to>
    <xdr:sp macro="" textlink="">
      <xdr:nvSpPr>
        <xdr:cNvPr id="54" name="Line 25">
          <a:extLst>
            <a:ext uri="{FF2B5EF4-FFF2-40B4-BE49-F238E27FC236}">
              <a16:creationId xmlns:a16="http://schemas.microsoft.com/office/drawing/2014/main" id="{8DA90345-7668-A241-9CC2-776642B8EC0A}"/>
            </a:ext>
          </a:extLst>
        </xdr:cNvPr>
        <xdr:cNvSpPr>
          <a:spLocks noChangeShapeType="1"/>
        </xdr:cNvSpPr>
      </xdr:nvSpPr>
      <xdr:spPr bwMode="auto">
        <a:xfrm flipV="1">
          <a:off x="5920317" y="12714817"/>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62</xdr:row>
      <xdr:rowOff>57150</xdr:rowOff>
    </xdr:from>
    <xdr:to>
      <xdr:col>5</xdr:col>
      <xdr:colOff>19050</xdr:colOff>
      <xdr:row>62</xdr:row>
      <xdr:rowOff>114300</xdr:rowOff>
    </xdr:to>
    <xdr:sp macro="" textlink="">
      <xdr:nvSpPr>
        <xdr:cNvPr id="55" name="Line 8">
          <a:extLst>
            <a:ext uri="{FF2B5EF4-FFF2-40B4-BE49-F238E27FC236}">
              <a16:creationId xmlns:a16="http://schemas.microsoft.com/office/drawing/2014/main" id="{A3723968-ED04-9045-B209-5A75F6032390}"/>
            </a:ext>
          </a:extLst>
        </xdr:cNvPr>
        <xdr:cNvSpPr>
          <a:spLocks noChangeShapeType="1"/>
        </xdr:cNvSpPr>
      </xdr:nvSpPr>
      <xdr:spPr bwMode="auto">
        <a:xfrm flipV="1">
          <a:off x="5920317" y="13544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71</xdr:row>
      <xdr:rowOff>57150</xdr:rowOff>
    </xdr:from>
    <xdr:to>
      <xdr:col>5</xdr:col>
      <xdr:colOff>19050</xdr:colOff>
      <xdr:row>71</xdr:row>
      <xdr:rowOff>114300</xdr:rowOff>
    </xdr:to>
    <xdr:sp macro="" textlink="">
      <xdr:nvSpPr>
        <xdr:cNvPr id="56" name="Line 10">
          <a:extLst>
            <a:ext uri="{FF2B5EF4-FFF2-40B4-BE49-F238E27FC236}">
              <a16:creationId xmlns:a16="http://schemas.microsoft.com/office/drawing/2014/main" id="{AE8C8AE6-5A0E-3446-BC44-3A62E14735AF}"/>
            </a:ext>
          </a:extLst>
        </xdr:cNvPr>
        <xdr:cNvSpPr>
          <a:spLocks noChangeShapeType="1"/>
        </xdr:cNvSpPr>
      </xdr:nvSpPr>
      <xdr:spPr bwMode="auto">
        <a:xfrm flipV="1">
          <a:off x="5920317" y="153902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85</xdr:row>
      <xdr:rowOff>57150</xdr:rowOff>
    </xdr:from>
    <xdr:to>
      <xdr:col>5</xdr:col>
      <xdr:colOff>19050</xdr:colOff>
      <xdr:row>85</xdr:row>
      <xdr:rowOff>114300</xdr:rowOff>
    </xdr:to>
    <xdr:sp macro="" textlink="">
      <xdr:nvSpPr>
        <xdr:cNvPr id="57" name="Line 14">
          <a:extLst>
            <a:ext uri="{FF2B5EF4-FFF2-40B4-BE49-F238E27FC236}">
              <a16:creationId xmlns:a16="http://schemas.microsoft.com/office/drawing/2014/main" id="{0C8B8BBE-F3F6-9B43-B8C0-13A53E9E5D6C}"/>
            </a:ext>
          </a:extLst>
        </xdr:cNvPr>
        <xdr:cNvSpPr>
          <a:spLocks noChangeShapeType="1"/>
        </xdr:cNvSpPr>
      </xdr:nvSpPr>
      <xdr:spPr bwMode="auto">
        <a:xfrm flipV="1">
          <a:off x="5920317" y="182604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91</xdr:row>
      <xdr:rowOff>57150</xdr:rowOff>
    </xdr:from>
    <xdr:to>
      <xdr:col>5</xdr:col>
      <xdr:colOff>19050</xdr:colOff>
      <xdr:row>91</xdr:row>
      <xdr:rowOff>142875</xdr:rowOff>
    </xdr:to>
    <xdr:sp macro="" textlink="">
      <xdr:nvSpPr>
        <xdr:cNvPr id="58" name="Line 18">
          <a:extLst>
            <a:ext uri="{FF2B5EF4-FFF2-40B4-BE49-F238E27FC236}">
              <a16:creationId xmlns:a16="http://schemas.microsoft.com/office/drawing/2014/main" id="{F062F8D6-6860-1446-AACD-5A3B77597FDD}"/>
            </a:ext>
          </a:extLst>
        </xdr:cNvPr>
        <xdr:cNvSpPr>
          <a:spLocks noChangeShapeType="1"/>
        </xdr:cNvSpPr>
      </xdr:nvSpPr>
      <xdr:spPr bwMode="auto">
        <a:xfrm flipV="1">
          <a:off x="5920317" y="19725217"/>
          <a:ext cx="0" cy="85725"/>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108</xdr:row>
      <xdr:rowOff>57150</xdr:rowOff>
    </xdr:from>
    <xdr:to>
      <xdr:col>5</xdr:col>
      <xdr:colOff>19050</xdr:colOff>
      <xdr:row>108</xdr:row>
      <xdr:rowOff>114300</xdr:rowOff>
    </xdr:to>
    <xdr:sp macro="" textlink="">
      <xdr:nvSpPr>
        <xdr:cNvPr id="59" name="Line 2">
          <a:extLst>
            <a:ext uri="{FF2B5EF4-FFF2-40B4-BE49-F238E27FC236}">
              <a16:creationId xmlns:a16="http://schemas.microsoft.com/office/drawing/2014/main" id="{14C31BDA-42CD-314F-9455-E2F077843475}"/>
            </a:ext>
          </a:extLst>
        </xdr:cNvPr>
        <xdr:cNvSpPr>
          <a:spLocks noChangeShapeType="1"/>
        </xdr:cNvSpPr>
      </xdr:nvSpPr>
      <xdr:spPr bwMode="auto">
        <a:xfrm flipV="1">
          <a:off x="5920317" y="231965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111</xdr:row>
      <xdr:rowOff>57150</xdr:rowOff>
    </xdr:from>
    <xdr:to>
      <xdr:col>5</xdr:col>
      <xdr:colOff>19050</xdr:colOff>
      <xdr:row>111</xdr:row>
      <xdr:rowOff>114300</xdr:rowOff>
    </xdr:to>
    <xdr:sp macro="" textlink="">
      <xdr:nvSpPr>
        <xdr:cNvPr id="60" name="Line 27">
          <a:extLst>
            <a:ext uri="{FF2B5EF4-FFF2-40B4-BE49-F238E27FC236}">
              <a16:creationId xmlns:a16="http://schemas.microsoft.com/office/drawing/2014/main" id="{7E1DF030-FBA4-A74D-9186-6AE7F937BF52}"/>
            </a:ext>
          </a:extLst>
        </xdr:cNvPr>
        <xdr:cNvSpPr>
          <a:spLocks noChangeShapeType="1"/>
        </xdr:cNvSpPr>
      </xdr:nvSpPr>
      <xdr:spPr bwMode="auto">
        <a:xfrm flipV="1">
          <a:off x="5920317" y="23856950"/>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128</xdr:row>
      <xdr:rowOff>57150</xdr:rowOff>
    </xdr:from>
    <xdr:to>
      <xdr:col>5</xdr:col>
      <xdr:colOff>19050</xdr:colOff>
      <xdr:row>128</xdr:row>
      <xdr:rowOff>114300</xdr:rowOff>
    </xdr:to>
    <xdr:sp macro="" textlink="">
      <xdr:nvSpPr>
        <xdr:cNvPr id="61" name="Line 29">
          <a:extLst>
            <a:ext uri="{FF2B5EF4-FFF2-40B4-BE49-F238E27FC236}">
              <a16:creationId xmlns:a16="http://schemas.microsoft.com/office/drawing/2014/main" id="{BF711FB0-20CC-D543-8C22-B63205C4D1C9}"/>
            </a:ext>
          </a:extLst>
        </xdr:cNvPr>
        <xdr:cNvSpPr>
          <a:spLocks noChangeShapeType="1"/>
        </xdr:cNvSpPr>
      </xdr:nvSpPr>
      <xdr:spPr bwMode="auto">
        <a:xfrm flipV="1">
          <a:off x="5920317" y="27379083"/>
          <a:ext cx="0" cy="57150"/>
        </a:xfrm>
        <a:prstGeom prst="line">
          <a:avLst/>
        </a:prstGeom>
        <a:noFill/>
        <a:ln w="9360">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269672</xdr:colOff>
      <xdr:row>0</xdr:row>
      <xdr:rowOff>0</xdr:rowOff>
    </xdr:from>
    <xdr:to>
      <xdr:col>2</xdr:col>
      <xdr:colOff>459798</xdr:colOff>
      <xdr:row>0</xdr:row>
      <xdr:rowOff>393700</xdr:rowOff>
    </xdr:to>
    <xdr:pic>
      <xdr:nvPicPr>
        <xdr:cNvPr id="2" name="Billede 1">
          <a:hlinkClick xmlns:r="http://schemas.openxmlformats.org/officeDocument/2006/relationships" r:id="rId1"/>
          <a:extLst>
            <a:ext uri="{FF2B5EF4-FFF2-40B4-BE49-F238E27FC236}">
              <a16:creationId xmlns:a16="http://schemas.microsoft.com/office/drawing/2014/main" id="{AE7824F0-D7D6-7041-80BD-AD908F6FC307}"/>
            </a:ext>
          </a:extLst>
        </xdr:cNvPr>
        <xdr:cNvPicPr>
          <a:picLocks noChangeAspect="1"/>
        </xdr:cNvPicPr>
      </xdr:nvPicPr>
      <xdr:blipFill>
        <a:blip xmlns:r="http://schemas.openxmlformats.org/officeDocument/2006/relationships" r:embed="rId2"/>
        <a:srcRect/>
        <a:stretch/>
      </xdr:blipFill>
      <xdr:spPr>
        <a:xfrm>
          <a:off x="269672" y="0"/>
          <a:ext cx="2234826" cy="393700"/>
        </a:xfrm>
        <a:prstGeom prst="rect">
          <a:avLst/>
        </a:prstGeom>
      </xdr:spPr>
    </xdr:pic>
    <xdr:clientData/>
  </xdr:twoCellAnchor>
  <xdr:twoCellAnchor editAs="oneCell">
    <xdr:from>
      <xdr:col>3</xdr:col>
      <xdr:colOff>259578</xdr:colOff>
      <xdr:row>0</xdr:row>
      <xdr:rowOff>0</xdr:rowOff>
    </xdr:from>
    <xdr:to>
      <xdr:col>5</xdr:col>
      <xdr:colOff>8036</xdr:colOff>
      <xdr:row>0</xdr:row>
      <xdr:rowOff>406400</xdr:rowOff>
    </xdr:to>
    <xdr:pic>
      <xdr:nvPicPr>
        <xdr:cNvPr id="3" name="Billede 2">
          <a:hlinkClick xmlns:r="http://schemas.openxmlformats.org/officeDocument/2006/relationships" r:id="rId3"/>
          <a:extLst>
            <a:ext uri="{FF2B5EF4-FFF2-40B4-BE49-F238E27FC236}">
              <a16:creationId xmlns:a16="http://schemas.microsoft.com/office/drawing/2014/main" id="{E0750DA6-4D35-6F49-B66B-06C4E2F85B4D}"/>
            </a:ext>
          </a:extLst>
        </xdr:cNvPr>
        <xdr:cNvPicPr>
          <a:picLocks noChangeAspect="1"/>
        </xdr:cNvPicPr>
      </xdr:nvPicPr>
      <xdr:blipFill>
        <a:blip xmlns:r="http://schemas.openxmlformats.org/officeDocument/2006/relationships" r:embed="rId4"/>
        <a:srcRect/>
        <a:stretch/>
      </xdr:blipFill>
      <xdr:spPr>
        <a:xfrm>
          <a:off x="3790178" y="0"/>
          <a:ext cx="2517058" cy="406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227341</xdr:colOff>
      <xdr:row>0</xdr:row>
      <xdr:rowOff>28575</xdr:rowOff>
    </xdr:from>
    <xdr:to>
      <xdr:col>1</xdr:col>
      <xdr:colOff>1102279</xdr:colOff>
      <xdr:row>0</xdr:row>
      <xdr:rowOff>301629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2"/>
        <a:srcRect/>
        <a:stretch/>
      </xdr:blipFill>
      <xdr:spPr>
        <a:xfrm>
          <a:off x="227341" y="28575"/>
          <a:ext cx="1549983" cy="273054"/>
        </a:xfrm>
        <a:prstGeom prst="rect">
          <a:avLst/>
        </a:prstGeom>
      </xdr:spPr>
    </xdr:pic>
    <xdr:clientData/>
  </xdr:twoCellAnchor>
  <xdr:twoCellAnchor editAs="oneCell">
    <xdr:from>
      <xdr:col>3</xdr:col>
      <xdr:colOff>883060</xdr:colOff>
      <xdr:row>0</xdr:row>
      <xdr:rowOff>9525</xdr:rowOff>
    </xdr:from>
    <xdr:to>
      <xdr:col>5</xdr:col>
      <xdr:colOff>363444</xdr:colOff>
      <xdr:row>0</xdr:row>
      <xdr:rowOff>300634</xdr:rowOff>
    </xdr:to>
    <xdr:pic>
      <xdr:nvPicPr>
        <xdr:cNvPr id="17" name="Billede 16">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4"/>
        <a:srcRect/>
        <a:stretch/>
      </xdr:blipFill>
      <xdr:spPr>
        <a:xfrm>
          <a:off x="4281168" y="9525"/>
          <a:ext cx="1802997" cy="291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185446</xdr:colOff>
      <xdr:row>0</xdr:row>
      <xdr:rowOff>28575</xdr:rowOff>
    </xdr:from>
    <xdr:to>
      <xdr:col>2</xdr:col>
      <xdr:colOff>757529</xdr:colOff>
      <xdr:row>0</xdr:row>
      <xdr:rowOff>301629</xdr:rowOff>
    </xdr:to>
    <xdr:pic>
      <xdr:nvPicPr>
        <xdr:cNvPr id="46" name="Billede 45">
          <a:hlinkClick xmlns:r="http://schemas.openxmlformats.org/officeDocument/2006/relationships" r:id="rId1"/>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2"/>
        <a:srcRect/>
        <a:stretch/>
      </xdr:blipFill>
      <xdr:spPr>
        <a:xfrm>
          <a:off x="185446" y="28575"/>
          <a:ext cx="1549983" cy="273054"/>
        </a:xfrm>
        <a:prstGeom prst="rect">
          <a:avLst/>
        </a:prstGeom>
      </xdr:spPr>
    </xdr:pic>
    <xdr:clientData/>
  </xdr:twoCellAnchor>
  <xdr:twoCellAnchor editAs="oneCell">
    <xdr:from>
      <xdr:col>2</xdr:col>
      <xdr:colOff>2005214</xdr:colOff>
      <xdr:row>0</xdr:row>
      <xdr:rowOff>9525</xdr:rowOff>
    </xdr:from>
    <xdr:to>
      <xdr:col>2</xdr:col>
      <xdr:colOff>3808211</xdr:colOff>
      <xdr:row>0</xdr:row>
      <xdr:rowOff>300634</xdr:rowOff>
    </xdr:to>
    <xdr:pic>
      <xdr:nvPicPr>
        <xdr:cNvPr id="25" name="Billede 24">
          <a:hlinkClick xmlns:r="http://schemas.openxmlformats.org/officeDocument/2006/relationships" r:id="rId3"/>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
        <a:srcRect/>
        <a:stretch/>
      </xdr:blipFill>
      <xdr:spPr>
        <a:xfrm>
          <a:off x="2983114" y="9525"/>
          <a:ext cx="1802997" cy="2911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234658</xdr:colOff>
      <xdr:row>0</xdr:row>
      <xdr:rowOff>28575</xdr:rowOff>
    </xdr:from>
    <xdr:to>
      <xdr:col>2</xdr:col>
      <xdr:colOff>743241</xdr:colOff>
      <xdr:row>0</xdr:row>
      <xdr:rowOff>301629</xdr:rowOff>
    </xdr:to>
    <xdr:pic>
      <xdr:nvPicPr>
        <xdr:cNvPr id="10" name="Billede 9">
          <a:hlinkClick xmlns:r="http://schemas.openxmlformats.org/officeDocument/2006/relationships" r:id="rId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rcRect/>
        <a:stretch/>
      </xdr:blipFill>
      <xdr:spPr>
        <a:xfrm>
          <a:off x="234658" y="28575"/>
          <a:ext cx="1549983" cy="273054"/>
        </a:xfrm>
        <a:prstGeom prst="rect">
          <a:avLst/>
        </a:prstGeom>
      </xdr:spPr>
    </xdr:pic>
    <xdr:clientData/>
  </xdr:twoCellAnchor>
  <xdr:twoCellAnchor editAs="oneCell">
    <xdr:from>
      <xdr:col>2</xdr:col>
      <xdr:colOff>1699593</xdr:colOff>
      <xdr:row>0</xdr:row>
      <xdr:rowOff>9525</xdr:rowOff>
    </xdr:from>
    <xdr:to>
      <xdr:col>2</xdr:col>
      <xdr:colOff>3555031</xdr:colOff>
      <xdr:row>0</xdr:row>
      <xdr:rowOff>309101</xdr:rowOff>
    </xdr:to>
    <xdr:pic>
      <xdr:nvPicPr>
        <xdr:cNvPr id="15" name="Billede 14">
          <a:hlinkClick xmlns:r="http://schemas.openxmlformats.org/officeDocument/2006/relationships" r:id="rId3"/>
          <a:extLst>
            <a:ext uri="{FF2B5EF4-FFF2-40B4-BE49-F238E27FC236}">
              <a16:creationId xmlns:a16="http://schemas.microsoft.com/office/drawing/2014/main" id="{C96D1492-F343-3644-8B9F-4652915D29F2}"/>
            </a:ext>
          </a:extLst>
        </xdr:cNvPr>
        <xdr:cNvPicPr>
          <a:picLocks noChangeAspect="1"/>
        </xdr:cNvPicPr>
      </xdr:nvPicPr>
      <xdr:blipFill>
        <a:blip xmlns:r="http://schemas.openxmlformats.org/officeDocument/2006/relationships" r:embed="rId4"/>
        <a:srcRect/>
        <a:stretch/>
      </xdr:blipFill>
      <xdr:spPr>
        <a:xfrm>
          <a:off x="2740993" y="9525"/>
          <a:ext cx="1855438" cy="2995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162893</xdr:colOff>
      <xdr:row>0</xdr:row>
      <xdr:rowOff>9525</xdr:rowOff>
    </xdr:from>
    <xdr:to>
      <xdr:col>2</xdr:col>
      <xdr:colOff>1332531</xdr:colOff>
      <xdr:row>1</xdr:row>
      <xdr:rowOff>4301</xdr:rowOff>
    </xdr:to>
    <xdr:pic>
      <xdr:nvPicPr>
        <xdr:cNvPr id="32" name="Billede 31">
          <a:hlinkClick xmlns:r="http://schemas.openxmlformats.org/officeDocument/2006/relationships" r:id="rId1"/>
          <a:extLst>
            <a:ext uri="{FF2B5EF4-FFF2-40B4-BE49-F238E27FC236}">
              <a16:creationId xmlns:a16="http://schemas.microsoft.com/office/drawing/2014/main" id="{00000000-0008-0000-0E00-000020000000}"/>
            </a:ext>
          </a:extLst>
        </xdr:cNvPr>
        <xdr:cNvPicPr>
          <a:picLocks noChangeAspect="1"/>
        </xdr:cNvPicPr>
      </xdr:nvPicPr>
      <xdr:blipFill>
        <a:blip xmlns:r="http://schemas.openxmlformats.org/officeDocument/2006/relationships" r:embed="rId2"/>
        <a:srcRect/>
        <a:stretch/>
      </xdr:blipFill>
      <xdr:spPr>
        <a:xfrm>
          <a:off x="556593" y="9525"/>
          <a:ext cx="1855438" cy="299576"/>
        </a:xfrm>
        <a:prstGeom prst="rect">
          <a:avLst/>
        </a:prstGeom>
      </xdr:spPr>
    </xdr:pic>
    <xdr:clientData/>
  </xdr:twoCellAnchor>
  <xdr:twoCellAnchor editAs="oneCell">
    <xdr:from>
      <xdr:col>3</xdr:col>
      <xdr:colOff>234177</xdr:colOff>
      <xdr:row>0</xdr:row>
      <xdr:rowOff>0</xdr:rowOff>
    </xdr:from>
    <xdr:to>
      <xdr:col>4</xdr:col>
      <xdr:colOff>641160</xdr:colOff>
      <xdr:row>0</xdr:row>
      <xdr:rowOff>273054</xdr:rowOff>
    </xdr:to>
    <xdr:pic>
      <xdr:nvPicPr>
        <xdr:cNvPr id="35" name="Billede 34">
          <a:hlinkClick xmlns:r="http://schemas.openxmlformats.org/officeDocument/2006/relationships" r:id="rId3"/>
          <a:extLst>
            <a:ext uri="{FF2B5EF4-FFF2-40B4-BE49-F238E27FC236}">
              <a16:creationId xmlns:a16="http://schemas.microsoft.com/office/drawing/2014/main" id="{161D117F-8D39-7545-BA5F-DF9D69637A8F}"/>
            </a:ext>
          </a:extLst>
        </xdr:cNvPr>
        <xdr:cNvPicPr>
          <a:picLocks noChangeAspect="1"/>
        </xdr:cNvPicPr>
      </xdr:nvPicPr>
      <xdr:blipFill>
        <a:blip xmlns:r="http://schemas.openxmlformats.org/officeDocument/2006/relationships" r:embed="rId4"/>
        <a:srcRect/>
        <a:stretch/>
      </xdr:blipFill>
      <xdr:spPr>
        <a:xfrm>
          <a:off x="5009377" y="0"/>
          <a:ext cx="1549983" cy="2730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17171</xdr:colOff>
      <xdr:row>0</xdr:row>
      <xdr:rowOff>28575</xdr:rowOff>
    </xdr:from>
    <xdr:to>
      <xdr:col>2</xdr:col>
      <xdr:colOff>601954</xdr:colOff>
      <xdr:row>0</xdr:row>
      <xdr:rowOff>301629</xdr:rowOff>
    </xdr:to>
    <xdr:pic>
      <xdr:nvPicPr>
        <xdr:cNvPr id="9" name="Billede 8">
          <a:hlinkClick xmlns:r="http://schemas.openxmlformats.org/officeDocument/2006/relationships" r:id="rId1"/>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rcRect/>
        <a:stretch/>
      </xdr:blipFill>
      <xdr:spPr>
        <a:xfrm>
          <a:off x="296571" y="28575"/>
          <a:ext cx="1549983" cy="273054"/>
        </a:xfrm>
        <a:prstGeom prst="rect">
          <a:avLst/>
        </a:prstGeom>
      </xdr:spPr>
    </xdr:pic>
    <xdr:clientData/>
  </xdr:twoCellAnchor>
  <xdr:twoCellAnchor editAs="oneCell">
    <xdr:from>
      <xdr:col>2</xdr:col>
      <xdr:colOff>877030</xdr:colOff>
      <xdr:row>0</xdr:row>
      <xdr:rowOff>9525</xdr:rowOff>
    </xdr:from>
    <xdr:to>
      <xdr:col>5</xdr:col>
      <xdr:colOff>148494</xdr:colOff>
      <xdr:row>0</xdr:row>
      <xdr:rowOff>300634</xdr:rowOff>
    </xdr:to>
    <xdr:pic>
      <xdr:nvPicPr>
        <xdr:cNvPr id="6" name="Billede 5">
          <a:hlinkClick xmlns:r="http://schemas.openxmlformats.org/officeDocument/2006/relationships" r:id="rId3"/>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a:srcRect/>
        <a:stretch/>
      </xdr:blipFill>
      <xdr:spPr>
        <a:xfrm>
          <a:off x="2121630" y="9525"/>
          <a:ext cx="1802997" cy="2911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676275</xdr:colOff>
      <xdr:row>0</xdr:row>
      <xdr:rowOff>28575</xdr:rowOff>
    </xdr:from>
    <xdr:to>
      <xdr:col>4</xdr:col>
      <xdr:colOff>523875</xdr:colOff>
      <xdr:row>0</xdr:row>
      <xdr:rowOff>305723</xdr:rowOff>
    </xdr:to>
    <xdr:pic macro="[0]!printer">
      <xdr:nvPicPr>
        <xdr:cNvPr id="6" name="Billede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0975" y="28575"/>
          <a:ext cx="1924050" cy="277148"/>
        </a:xfrm>
        <a:prstGeom prst="rect">
          <a:avLst/>
        </a:prstGeom>
      </xdr:spPr>
    </xdr:pic>
    <xdr:clientData/>
  </xdr:twoCellAnchor>
  <xdr:twoCellAnchor editAs="oneCell">
    <xdr:from>
      <xdr:col>1</xdr:col>
      <xdr:colOff>1609725</xdr:colOff>
      <xdr:row>0</xdr:row>
      <xdr:rowOff>9525</xdr:rowOff>
    </xdr:from>
    <xdr:to>
      <xdr:col>2</xdr:col>
      <xdr:colOff>152400</xdr:colOff>
      <xdr:row>0</xdr:row>
      <xdr:rowOff>300634</xdr:rowOff>
    </xdr:to>
    <xdr:pic>
      <xdr:nvPicPr>
        <xdr:cNvPr id="7" name="Billede 6">
          <a:hlinkClick xmlns:r="http://schemas.openxmlformats.org/officeDocument/2006/relationships" r:id="rId3"/>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1933575" cy="291109"/>
        </a:xfrm>
        <a:prstGeom prst="rect">
          <a:avLst/>
        </a:prstGeom>
      </xdr:spPr>
    </xdr:pic>
    <xdr:clientData/>
  </xdr:twoCellAnchor>
  <xdr:twoCellAnchor editAs="oneCell">
    <xdr:from>
      <xdr:col>0</xdr:col>
      <xdr:colOff>0</xdr:colOff>
      <xdr:row>0</xdr:row>
      <xdr:rowOff>28575</xdr:rowOff>
    </xdr:from>
    <xdr:to>
      <xdr:col>1</xdr:col>
      <xdr:colOff>1562100</xdr:colOff>
      <xdr:row>0</xdr:row>
      <xdr:rowOff>301629</xdr:rowOff>
    </xdr:to>
    <xdr:pic>
      <xdr:nvPicPr>
        <xdr:cNvPr id="8" name="Billede 7">
          <a:hlinkClick xmlns:r="http://schemas.openxmlformats.org/officeDocument/2006/relationships" r:id="rId5"/>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8575"/>
          <a:ext cx="1885950" cy="273054"/>
        </a:xfrm>
        <a:prstGeom prst="rect">
          <a:avLst/>
        </a:prstGeom>
      </xdr:spPr>
    </xdr:pic>
    <xdr:clientData/>
  </xdr:twoCellAnchor>
  <xdr:twoCellAnchor editAs="oneCell">
    <xdr:from>
      <xdr:col>5</xdr:col>
      <xdr:colOff>152401</xdr:colOff>
      <xdr:row>0</xdr:row>
      <xdr:rowOff>0</xdr:rowOff>
    </xdr:from>
    <xdr:to>
      <xdr:col>7</xdr:col>
      <xdr:colOff>304801</xdr:colOff>
      <xdr:row>0</xdr:row>
      <xdr:rowOff>302628</xdr:rowOff>
    </xdr:to>
    <xdr:pic>
      <xdr:nvPicPr>
        <xdr:cNvPr id="9" name="Billede 8">
          <a:hlinkClick xmlns:r="http://schemas.openxmlformats.org/officeDocument/2006/relationships" r:id="rId7"/>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915026" y="0"/>
          <a:ext cx="1943100" cy="3026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12</xdr:row>
      <xdr:rowOff>104775</xdr:rowOff>
    </xdr:from>
    <xdr:to>
      <xdr:col>5</xdr:col>
      <xdr:colOff>0</xdr:colOff>
      <xdr:row>31</xdr:row>
      <xdr:rowOff>95250</xdr:rowOff>
    </xdr:to>
    <xdr:graphicFrame macro="">
      <xdr:nvGraphicFramePr>
        <xdr:cNvPr id="3343" name="Chart 2">
          <a:extLst>
            <a:ext uri="{FF2B5EF4-FFF2-40B4-BE49-F238E27FC236}">
              <a16:creationId xmlns:a16="http://schemas.microsoft.com/office/drawing/2014/main" id="{00000000-0008-0000-1200-00000F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104775</xdr:rowOff>
    </xdr:from>
    <xdr:to>
      <xdr:col>6</xdr:col>
      <xdr:colOff>19050</xdr:colOff>
      <xdr:row>55</xdr:row>
      <xdr:rowOff>152400</xdr:rowOff>
    </xdr:to>
    <xdr:graphicFrame macro="">
      <xdr:nvGraphicFramePr>
        <xdr:cNvPr id="3344" name="Chart 3">
          <a:extLst>
            <a:ext uri="{FF2B5EF4-FFF2-40B4-BE49-F238E27FC236}">
              <a16:creationId xmlns:a16="http://schemas.microsoft.com/office/drawing/2014/main" id="{00000000-0008-0000-1200-00001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428625</xdr:colOff>
      <xdr:row>0</xdr:row>
      <xdr:rowOff>9525</xdr:rowOff>
    </xdr:from>
    <xdr:to>
      <xdr:col>4</xdr:col>
      <xdr:colOff>104775</xdr:colOff>
      <xdr:row>0</xdr:row>
      <xdr:rowOff>300634</xdr:rowOff>
    </xdr:to>
    <xdr:pic>
      <xdr:nvPicPr>
        <xdr:cNvPr id="8" name="Billede 7">
          <a:hlinkClick xmlns:r="http://schemas.openxmlformats.org/officeDocument/2006/relationships" r:id="rId3"/>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1933575" cy="291109"/>
        </a:xfrm>
        <a:prstGeom prst="rect">
          <a:avLst/>
        </a:prstGeom>
      </xdr:spPr>
    </xdr:pic>
    <xdr:clientData/>
  </xdr:twoCellAnchor>
  <xdr:twoCellAnchor editAs="oneCell">
    <xdr:from>
      <xdr:col>0</xdr:col>
      <xdr:colOff>0</xdr:colOff>
      <xdr:row>0</xdr:row>
      <xdr:rowOff>28575</xdr:rowOff>
    </xdr:from>
    <xdr:to>
      <xdr:col>1</xdr:col>
      <xdr:colOff>352425</xdr:colOff>
      <xdr:row>0</xdr:row>
      <xdr:rowOff>301629</xdr:rowOff>
    </xdr:to>
    <xdr:pic>
      <xdr:nvPicPr>
        <xdr:cNvPr id="9" name="Billede 8">
          <a:hlinkClick xmlns:r="http://schemas.openxmlformats.org/officeDocument/2006/relationships" r:id="rId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8575"/>
          <a:ext cx="1885950" cy="273054"/>
        </a:xfrm>
        <a:prstGeom prst="rect">
          <a:avLst/>
        </a:prstGeom>
      </xdr:spPr>
    </xdr:pic>
    <xdr:clientData/>
  </xdr:twoCellAnchor>
  <xdr:twoCellAnchor editAs="oneCell">
    <xdr:from>
      <xdr:col>1</xdr:col>
      <xdr:colOff>180975</xdr:colOff>
      <xdr:row>0</xdr:row>
      <xdr:rowOff>9525</xdr:rowOff>
    </xdr:from>
    <xdr:to>
      <xdr:col>3</xdr:col>
      <xdr:colOff>628650</xdr:colOff>
      <xdr:row>0</xdr:row>
      <xdr:rowOff>300634</xdr:rowOff>
    </xdr:to>
    <xdr:pic>
      <xdr:nvPicPr>
        <xdr:cNvPr id="11" name="Billede 10">
          <a:hlinkClick xmlns:r="http://schemas.openxmlformats.org/officeDocument/2006/relationships" r:id="rId7"/>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33575" y="9525"/>
          <a:ext cx="2174875" cy="2911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76200</xdr:colOff>
      <xdr:row>60</xdr:row>
      <xdr:rowOff>161925</xdr:rowOff>
    </xdr:from>
    <xdr:to>
      <xdr:col>2</xdr:col>
      <xdr:colOff>381000</xdr:colOff>
      <xdr:row>63</xdr:row>
      <xdr:rowOff>133350</xdr:rowOff>
    </xdr:to>
    <xdr:pic>
      <xdr:nvPicPr>
        <xdr:cNvPr id="88199" name="Picture 1">
          <a:extLst>
            <a:ext uri="{FF2B5EF4-FFF2-40B4-BE49-F238E27FC236}">
              <a16:creationId xmlns:a16="http://schemas.microsoft.com/office/drawing/2014/main" id="{00000000-0008-0000-1400-0000875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877425"/>
          <a:ext cx="3048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mikke/Library/Application%20Support/Microsoft/Office/Office%202011%20AutoRecovery/Users/morten/Desktop/Februar%202012/Den%20Str&#229;t&#230;kte%20friskole/budget%202012%20straat/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ve/Downloads/Ole-M/L&#216;N/LonberegnAug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emikke/Library/Application%20Support/Microsoft/Office/Office%202011%20AutoRecovery/Users/morten/Desktop/Februar%202012/Den%20Str&#229;t&#230;kte%20friskole/budget%202012%20straat/Budget2012-n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ove/Downloads/Ole-M/L&#216;N/natpeng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ve/Downloads/Ole-M/L&#216;N/Lonberegn2013-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ove/Downloads/Ole-M/L&#216;N/L&#216;N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ove/Downloads/Ole-M/L&#216;N/Klassificering&amp;natpeng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atsBilag"/>
      <sheetName val="Hovedskema"/>
      <sheetName val="Statstilskud"/>
      <sheetName val="Skolepenge  mv."/>
      <sheetName val="løn undervisning"/>
      <sheetName val="løn SFO TAP mv"/>
      <sheetName val="Undervisningsudg."/>
      <sheetName val="Bygninger"/>
      <sheetName val="Administration"/>
      <sheetName val="Prio-renter"/>
      <sheetName val="Skolemadsudgifter"/>
      <sheetName val="Børnehave"/>
      <sheetName val="Resultat "/>
      <sheetName val="Grundlon"/>
      <sheetName val="Prognose"/>
      <sheetName val="inklusion"/>
      <sheetName val="H2.Aktuel år"/>
      <sheetName val="BilagA"/>
    </sheetNames>
    <sheetDataSet>
      <sheetData sheetId="0" refreshError="1"/>
      <sheetData sheetId="1" refreshError="1">
        <row r="8">
          <cell r="C8">
            <v>1.0130399999999999</v>
          </cell>
        </row>
        <row r="9">
          <cell r="H9">
            <v>0</v>
          </cell>
        </row>
        <row r="10">
          <cell r="C10">
            <v>1.0130399999999999</v>
          </cell>
          <cell r="H10">
            <v>0</v>
          </cell>
        </row>
        <row r="12">
          <cell r="C12">
            <v>1.0210399999999999</v>
          </cell>
        </row>
        <row r="13">
          <cell r="C13">
            <v>270</v>
          </cell>
          <cell r="N13">
            <v>1.0190399999999999</v>
          </cell>
        </row>
        <row r="14">
          <cell r="C14">
            <v>108.35</v>
          </cell>
        </row>
        <row r="15">
          <cell r="C15">
            <v>130</v>
          </cell>
        </row>
        <row r="16">
          <cell r="C16">
            <v>59.769359999999999</v>
          </cell>
        </row>
        <row r="17">
          <cell r="C17">
            <v>315</v>
          </cell>
          <cell r="L17">
            <v>0</v>
          </cell>
        </row>
        <row r="18">
          <cell r="C18">
            <v>315</v>
          </cell>
        </row>
        <row r="19">
          <cell r="C19">
            <v>201</v>
          </cell>
        </row>
        <row r="20">
          <cell r="C20">
            <v>201</v>
          </cell>
          <cell r="L20">
            <v>0</v>
          </cell>
        </row>
        <row r="21">
          <cell r="C21">
            <v>214</v>
          </cell>
        </row>
        <row r="22">
          <cell r="C22">
            <v>214</v>
          </cell>
        </row>
        <row r="23">
          <cell r="C23">
            <v>122</v>
          </cell>
        </row>
        <row r="24">
          <cell r="C24">
            <v>122</v>
          </cell>
        </row>
        <row r="25">
          <cell r="C25">
            <v>14.5</v>
          </cell>
        </row>
        <row r="26">
          <cell r="C26">
            <v>42722</v>
          </cell>
        </row>
        <row r="27">
          <cell r="C27">
            <v>41700</v>
          </cell>
        </row>
        <row r="29">
          <cell r="C29">
            <v>1986</v>
          </cell>
        </row>
        <row r="30">
          <cell r="C30">
            <v>2004</v>
          </cell>
        </row>
        <row r="31">
          <cell r="C31">
            <v>2004</v>
          </cell>
          <cell r="G31">
            <v>0</v>
          </cell>
        </row>
        <row r="32">
          <cell r="C32">
            <v>47140</v>
          </cell>
          <cell r="G32">
            <v>29120</v>
          </cell>
        </row>
        <row r="33">
          <cell r="C33">
            <v>47376</v>
          </cell>
        </row>
        <row r="34">
          <cell r="C34">
            <v>10967</v>
          </cell>
          <cell r="G34">
            <v>37334</v>
          </cell>
        </row>
        <row r="35">
          <cell r="C35">
            <v>11022</v>
          </cell>
          <cell r="G35">
            <v>0</v>
          </cell>
        </row>
        <row r="36">
          <cell r="C36">
            <v>11022</v>
          </cell>
          <cell r="G36">
            <v>0</v>
          </cell>
        </row>
        <row r="37">
          <cell r="C37">
            <v>0</v>
          </cell>
        </row>
        <row r="38">
          <cell r="C38">
            <v>3004</v>
          </cell>
        </row>
        <row r="39">
          <cell r="C39">
            <v>3264</v>
          </cell>
        </row>
        <row r="40">
          <cell r="C40">
            <v>3624</v>
          </cell>
        </row>
        <row r="41">
          <cell r="C41">
            <v>936</v>
          </cell>
        </row>
        <row r="42">
          <cell r="C42">
            <v>217</v>
          </cell>
        </row>
        <row r="43">
          <cell r="C43">
            <v>35</v>
          </cell>
        </row>
        <row r="44">
          <cell r="C44">
            <v>1.7500000000000002E-2</v>
          </cell>
        </row>
        <row r="46">
          <cell r="C46" t="str">
            <v>lø/søndage</v>
          </cell>
        </row>
        <row r="49">
          <cell r="A49" t="str">
            <v>2006/07</v>
          </cell>
          <cell r="B49">
            <v>365</v>
          </cell>
          <cell r="C49">
            <v>104</v>
          </cell>
          <cell r="D49">
            <v>9</v>
          </cell>
          <cell r="E49">
            <v>37803</v>
          </cell>
          <cell r="F49">
            <v>37835</v>
          </cell>
          <cell r="G49">
            <v>22</v>
          </cell>
          <cell r="H49">
            <v>230</v>
          </cell>
          <cell r="I49">
            <v>1694.6</v>
          </cell>
        </row>
        <row r="50">
          <cell r="A50" t="str">
            <v>2007/08</v>
          </cell>
          <cell r="B50">
            <v>366</v>
          </cell>
          <cell r="C50">
            <v>104</v>
          </cell>
          <cell r="D50">
            <v>9</v>
          </cell>
          <cell r="E50">
            <v>38171</v>
          </cell>
          <cell r="F50">
            <v>38205</v>
          </cell>
          <cell r="G50">
            <v>23</v>
          </cell>
          <cell r="H50">
            <v>230</v>
          </cell>
          <cell r="I50">
            <v>1687.2</v>
          </cell>
        </row>
        <row r="51">
          <cell r="A51" t="str">
            <v>2008/09</v>
          </cell>
          <cell r="B51">
            <v>365</v>
          </cell>
          <cell r="C51">
            <v>104</v>
          </cell>
          <cell r="D51">
            <v>9</v>
          </cell>
          <cell r="E51">
            <v>38538</v>
          </cell>
          <cell r="F51">
            <v>38570</v>
          </cell>
          <cell r="G51">
            <v>25</v>
          </cell>
          <cell r="H51">
            <v>227</v>
          </cell>
          <cell r="I51">
            <v>1672.4</v>
          </cell>
        </row>
        <row r="52">
          <cell r="A52" t="str">
            <v>2009/10</v>
          </cell>
          <cell r="B52">
            <v>365</v>
          </cell>
          <cell r="C52">
            <v>105</v>
          </cell>
          <cell r="D52">
            <v>8</v>
          </cell>
          <cell r="E52">
            <v>38902</v>
          </cell>
          <cell r="F52">
            <v>38934</v>
          </cell>
          <cell r="G52">
            <v>25</v>
          </cell>
          <cell r="H52">
            <v>227</v>
          </cell>
          <cell r="I52">
            <v>1679.8</v>
          </cell>
        </row>
        <row r="53">
          <cell r="A53" t="str">
            <v>2010/11</v>
          </cell>
          <cell r="B53">
            <v>365</v>
          </cell>
          <cell r="C53">
            <v>105</v>
          </cell>
          <cell r="D53">
            <v>6</v>
          </cell>
          <cell r="E53">
            <v>39266</v>
          </cell>
          <cell r="F53">
            <v>39298</v>
          </cell>
          <cell r="G53">
            <v>25</v>
          </cell>
          <cell r="H53">
            <v>229</v>
          </cell>
          <cell r="I53">
            <v>1694.6</v>
          </cell>
        </row>
        <row r="54">
          <cell r="A54" t="str">
            <v>2011/12</v>
          </cell>
          <cell r="B54">
            <v>366</v>
          </cell>
          <cell r="C54">
            <v>104</v>
          </cell>
          <cell r="D54">
            <v>7</v>
          </cell>
          <cell r="E54">
            <v>39632</v>
          </cell>
          <cell r="F54">
            <v>39666</v>
          </cell>
          <cell r="G54">
            <v>25</v>
          </cell>
          <cell r="H54">
            <v>230</v>
          </cell>
          <cell r="I54">
            <v>1687.2</v>
          </cell>
        </row>
        <row r="55">
          <cell r="A55" t="str">
            <v>2012/13</v>
          </cell>
          <cell r="B55">
            <v>365</v>
          </cell>
          <cell r="C55">
            <v>104</v>
          </cell>
          <cell r="D55">
            <v>9</v>
          </cell>
          <cell r="E55">
            <v>39997</v>
          </cell>
          <cell r="F55">
            <v>40031</v>
          </cell>
          <cell r="G55">
            <v>25</v>
          </cell>
          <cell r="H55">
            <v>227</v>
          </cell>
          <cell r="I55">
            <v>1672.4</v>
          </cell>
        </row>
        <row r="56">
          <cell r="A56" t="str">
            <v>2013/14</v>
          </cell>
          <cell r="B56">
            <v>365</v>
          </cell>
          <cell r="C56">
            <v>104</v>
          </cell>
          <cell r="D56">
            <v>9</v>
          </cell>
          <cell r="E56">
            <v>40362</v>
          </cell>
          <cell r="F56">
            <v>40396</v>
          </cell>
          <cell r="G56">
            <v>25</v>
          </cell>
          <cell r="H56">
            <v>227</v>
          </cell>
          <cell r="I56">
            <v>1672.4</v>
          </cell>
        </row>
        <row r="57">
          <cell r="A57" t="str">
            <v>2014/15</v>
          </cell>
          <cell r="B57">
            <v>365</v>
          </cell>
          <cell r="C57">
            <v>104</v>
          </cell>
          <cell r="D57">
            <v>9</v>
          </cell>
          <cell r="E57">
            <v>40729</v>
          </cell>
          <cell r="F57">
            <v>40761</v>
          </cell>
          <cell r="G57">
            <v>25</v>
          </cell>
          <cell r="H57">
            <v>227</v>
          </cell>
          <cell r="I57">
            <v>1679.8000000000002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
      <sheetName val="Nylønstillæg"/>
      <sheetName val="Laerer-bhkll"/>
      <sheetName val="andre"/>
      <sheetName val="Grundlon"/>
      <sheetName val="Grundlon12"/>
      <sheetName val="Omregner"/>
      <sheetName val="Trin4tillaeg"/>
    </sheetNames>
    <sheetDataSet>
      <sheetData sheetId="0" refreshError="1"/>
      <sheetData sheetId="1" refreshError="1"/>
      <sheetData sheetId="2"/>
      <sheetData sheetId="3" refreshError="1"/>
      <sheetData sheetId="4" refreshError="1"/>
      <sheetData sheetId="5">
        <row r="4">
          <cell r="A4">
            <v>1</v>
          </cell>
        </row>
        <row r="59">
          <cell r="A59" t="str">
            <v>Læ1</v>
          </cell>
          <cell r="B59">
            <v>279695</v>
          </cell>
          <cell r="C59">
            <v>279695</v>
          </cell>
          <cell r="D59">
            <v>279695</v>
          </cell>
          <cell r="E59">
            <v>279695</v>
          </cell>
          <cell r="F59">
            <v>279695</v>
          </cell>
          <cell r="G59">
            <v>279695</v>
          </cell>
        </row>
        <row r="60">
          <cell r="A60" t="str">
            <v>Læ2</v>
          </cell>
          <cell r="B60">
            <v>298044</v>
          </cell>
          <cell r="C60">
            <v>298044</v>
          </cell>
          <cell r="D60">
            <v>298044</v>
          </cell>
          <cell r="E60">
            <v>298044</v>
          </cell>
          <cell r="F60">
            <v>298044</v>
          </cell>
          <cell r="G60">
            <v>298044</v>
          </cell>
        </row>
        <row r="61">
          <cell r="A61" t="str">
            <v>Læ3</v>
          </cell>
          <cell r="B61">
            <v>325699</v>
          </cell>
          <cell r="C61">
            <v>325699</v>
          </cell>
          <cell r="D61">
            <v>325699</v>
          </cell>
          <cell r="E61">
            <v>325699</v>
          </cell>
          <cell r="F61">
            <v>325699</v>
          </cell>
          <cell r="G61">
            <v>325699</v>
          </cell>
        </row>
        <row r="62">
          <cell r="A62" t="str">
            <v>Læ4</v>
          </cell>
          <cell r="B62">
            <v>351388</v>
          </cell>
          <cell r="C62">
            <v>351388</v>
          </cell>
          <cell r="D62">
            <v>351388</v>
          </cell>
          <cell r="E62">
            <v>351388</v>
          </cell>
          <cell r="F62">
            <v>351388</v>
          </cell>
          <cell r="G62">
            <v>351388</v>
          </cell>
        </row>
        <row r="63">
          <cell r="A63" t="str">
            <v>Bh1</v>
          </cell>
          <cell r="B63">
            <v>266588</v>
          </cell>
          <cell r="C63">
            <v>266588</v>
          </cell>
          <cell r="D63">
            <v>266588</v>
          </cell>
          <cell r="E63">
            <v>266588</v>
          </cell>
          <cell r="F63">
            <v>266588</v>
          </cell>
          <cell r="G63">
            <v>266588</v>
          </cell>
        </row>
        <row r="64">
          <cell r="A64" t="str">
            <v>Bh2</v>
          </cell>
          <cell r="B64">
            <v>279695</v>
          </cell>
          <cell r="C64">
            <v>279695</v>
          </cell>
          <cell r="D64">
            <v>279695</v>
          </cell>
          <cell r="E64">
            <v>279695</v>
          </cell>
          <cell r="F64">
            <v>279695</v>
          </cell>
          <cell r="G64">
            <v>279695</v>
          </cell>
        </row>
        <row r="65">
          <cell r="A65" t="str">
            <v>Bh3</v>
          </cell>
          <cell r="B65">
            <v>290311</v>
          </cell>
          <cell r="C65">
            <v>290311</v>
          </cell>
          <cell r="D65">
            <v>290311</v>
          </cell>
          <cell r="E65">
            <v>290311</v>
          </cell>
          <cell r="F65">
            <v>290311</v>
          </cell>
          <cell r="G65">
            <v>290311</v>
          </cell>
        </row>
        <row r="66">
          <cell r="A66" t="str">
            <v>Bh4</v>
          </cell>
          <cell r="B66">
            <v>309054</v>
          </cell>
          <cell r="C66">
            <v>309054</v>
          </cell>
          <cell r="D66">
            <v>309054</v>
          </cell>
          <cell r="E66">
            <v>309054</v>
          </cell>
          <cell r="F66">
            <v>309054</v>
          </cell>
          <cell r="G66">
            <v>309054</v>
          </cell>
        </row>
        <row r="71">
          <cell r="A71" t="str">
            <v>Læ1</v>
          </cell>
          <cell r="B71">
            <v>0</v>
          </cell>
          <cell r="C71">
            <v>3900</v>
          </cell>
          <cell r="D71">
            <v>6900</v>
          </cell>
          <cell r="E71">
            <v>10800</v>
          </cell>
          <cell r="F71">
            <v>13800</v>
          </cell>
        </row>
        <row r="72">
          <cell r="A72" t="str">
            <v>Læ2</v>
          </cell>
          <cell r="B72">
            <v>0</v>
          </cell>
          <cell r="C72">
            <v>3300</v>
          </cell>
          <cell r="D72">
            <v>5700</v>
          </cell>
          <cell r="E72">
            <v>9000</v>
          </cell>
          <cell r="F72">
            <v>11400</v>
          </cell>
        </row>
        <row r="73">
          <cell r="A73" t="str">
            <v>Læ3</v>
          </cell>
          <cell r="B73">
            <v>0</v>
          </cell>
          <cell r="C73">
            <v>2100</v>
          </cell>
          <cell r="D73">
            <v>3900</v>
          </cell>
          <cell r="E73">
            <v>6000</v>
          </cell>
          <cell r="F73">
            <v>7500</v>
          </cell>
        </row>
        <row r="74">
          <cell r="A74" t="str">
            <v>Læ4</v>
          </cell>
          <cell r="B74">
            <v>0</v>
          </cell>
          <cell r="C74">
            <v>2100</v>
          </cell>
          <cell r="D74">
            <v>3900</v>
          </cell>
          <cell r="E74">
            <v>6000</v>
          </cell>
          <cell r="F74">
            <v>7500</v>
          </cell>
        </row>
        <row r="75">
          <cell r="A75" t="str">
            <v>Bh1</v>
          </cell>
          <cell r="B75">
            <v>0</v>
          </cell>
          <cell r="C75">
            <v>4500</v>
          </cell>
          <cell r="D75">
            <v>7500</v>
          </cell>
          <cell r="E75">
            <v>12000</v>
          </cell>
          <cell r="F75">
            <v>15000</v>
          </cell>
        </row>
        <row r="76">
          <cell r="A76" t="str">
            <v>Bh2</v>
          </cell>
          <cell r="B76">
            <v>0</v>
          </cell>
          <cell r="C76">
            <v>3900</v>
          </cell>
          <cell r="D76">
            <v>6900</v>
          </cell>
          <cell r="E76">
            <v>10800</v>
          </cell>
          <cell r="F76">
            <v>13800</v>
          </cell>
        </row>
        <row r="77">
          <cell r="A77" t="str">
            <v>Bh3</v>
          </cell>
          <cell r="B77">
            <v>0</v>
          </cell>
          <cell r="C77">
            <v>3600</v>
          </cell>
          <cell r="D77">
            <v>6300</v>
          </cell>
          <cell r="E77">
            <v>9900</v>
          </cell>
          <cell r="F77">
            <v>12600</v>
          </cell>
        </row>
        <row r="78">
          <cell r="A78" t="str">
            <v>Bh4</v>
          </cell>
          <cell r="B78">
            <v>0</v>
          </cell>
          <cell r="C78">
            <v>3600</v>
          </cell>
          <cell r="D78">
            <v>6300</v>
          </cell>
          <cell r="E78">
            <v>9900</v>
          </cell>
          <cell r="F78">
            <v>12600</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atsBilag"/>
      <sheetName val="Hovedskema"/>
      <sheetName val="Statstilskud"/>
      <sheetName val="Skolepenge  mv."/>
      <sheetName val="løn undervisning"/>
      <sheetName val="løn SFO TAP mv"/>
      <sheetName val="Undervisningsudg."/>
      <sheetName val="Bygninger"/>
      <sheetName val="Administration"/>
      <sheetName val="Prio-renter"/>
      <sheetName val="Skolemadsudgifter"/>
      <sheetName val="Børnehave"/>
      <sheetName val="Resultat "/>
      <sheetName val="Grundlon"/>
      <sheetName val="Prognose"/>
      <sheetName val="inklusion"/>
      <sheetName val="H2.Aktuel år"/>
      <sheetName val="BilagA"/>
      <sheetName val="Side  2  Resultat "/>
      <sheetName val="Side 3 Likviditet"/>
      <sheetName val="Side  4  Prognose"/>
      <sheetName val="Side  5  Hovedskema"/>
      <sheetName val="Side  6  Statstilskud 2012"/>
      <sheetName val="Side  7  Statstilskud 2013"/>
      <sheetName val="Side  8  Fordeludv."/>
      <sheetName val="Side  9  Skopenge  mv."/>
      <sheetName val="Side  10  Lærerløn 7 mdr."/>
      <sheetName val="Side  11  Lærerløn 5 mdr. "/>
      <sheetName val="Side  12  SFO-løn"/>
      <sheetName val="Side  13  UV-udg."/>
      <sheetName val="Side  14  Pedel +reng-løn"/>
      <sheetName val="Side  15  Leje-skat m.m."/>
      <sheetName val="Side  16  Vedligeh. El Varme"/>
      <sheetName val="Side  17  Prio-renter"/>
      <sheetName val="Side  18  Adm-løn"/>
      <sheetName val="Side  19  Adm-udg."/>
      <sheetName val="Side  20  Øvrige udg."/>
      <sheetName val="Side 21  Skolemadsudgifter"/>
      <sheetName val="Side 22 Børnehave"/>
      <sheetName val="Side 23 Løn Børnehave"/>
      <sheetName val="Bilag B Elevforuds."/>
      <sheetName val="Vejledning"/>
      <sheetName val="Nylønstillæg"/>
      <sheetName val="Laerer-bhkll"/>
      <sheetName val="andre"/>
      <sheetName val="H1.Grundløn97"/>
      <sheetName val="Bilag skolepenge"/>
      <sheetName val="Bilag særtilsk."/>
      <sheetName val="Bilag ford.udv."/>
      <sheetName val="Bilag læløn"/>
      <sheetName val="Bilag uv udgifter"/>
      <sheetName val="Bilag energi og vand"/>
      <sheetName val="Bilag prioritetsrente"/>
      <sheetName val="Bilag vedl. og energi"/>
      <sheetName val="Bilag andre udgifter"/>
      <sheetName val="Bilag administration"/>
    </sheetNames>
    <sheetDataSet>
      <sheetData sheetId="0">
        <row r="4">
          <cell r="D4">
            <v>2012</v>
          </cell>
        </row>
      </sheetData>
      <sheetData sheetId="1">
        <row r="1">
          <cell r="M1">
            <v>0</v>
          </cell>
        </row>
        <row r="4">
          <cell r="A4">
            <v>0</v>
          </cell>
          <cell r="B4">
            <v>0</v>
          </cell>
          <cell r="C4">
            <v>0</v>
          </cell>
          <cell r="F4">
            <v>0</v>
          </cell>
          <cell r="G4">
            <v>0</v>
          </cell>
        </row>
        <row r="5">
          <cell r="B5">
            <v>0</v>
          </cell>
          <cell r="C5">
            <v>0</v>
          </cell>
          <cell r="F5">
            <v>0</v>
          </cell>
          <cell r="G5">
            <v>0</v>
          </cell>
        </row>
        <row r="6">
          <cell r="A6" t="str">
            <v>navn:</v>
          </cell>
          <cell r="B6" t="str">
            <v>INDTAST  Skolens Stedtillægsområde.</v>
          </cell>
          <cell r="C6">
            <v>2</v>
          </cell>
          <cell r="D6">
            <v>0</v>
          </cell>
          <cell r="F6">
            <v>0</v>
          </cell>
          <cell r="G6">
            <v>0</v>
          </cell>
        </row>
        <row r="7">
          <cell r="A7">
            <v>0</v>
          </cell>
          <cell r="B7">
            <v>0</v>
          </cell>
          <cell r="C7">
            <v>0</v>
          </cell>
          <cell r="F7">
            <v>0</v>
          </cell>
          <cell r="G7">
            <v>0</v>
          </cell>
        </row>
        <row r="8">
          <cell r="A8">
            <v>0</v>
          </cell>
          <cell r="B8" t="str">
            <v>Procentregulering af 31. marts 2013 lønnen pr. 1.jan -1</v>
          </cell>
          <cell r="C8">
            <v>1.0130399999999999</v>
          </cell>
          <cell r="D8">
            <v>0</v>
          </cell>
          <cell r="E8">
            <v>0</v>
          </cell>
          <cell r="F8">
            <v>0</v>
          </cell>
          <cell r="G8">
            <v>0</v>
          </cell>
        </row>
        <row r="9">
          <cell r="A9" t="str">
            <v>Procentregulering</v>
          </cell>
          <cell r="B9" t="str">
            <v>Aktuel procentregulering af Procentregulering1 -1</v>
          </cell>
          <cell r="C9">
            <v>1.0130399999999999</v>
          </cell>
          <cell r="D9">
            <v>0</v>
          </cell>
          <cell r="E9">
            <v>0</v>
          </cell>
          <cell r="F9">
            <v>0</v>
          </cell>
          <cell r="G9">
            <v>0</v>
          </cell>
        </row>
        <row r="10">
          <cell r="A10">
            <v>0</v>
          </cell>
          <cell r="B10" t="str">
            <v>Aktuel procentregulering af 31. marts 2013 lønnen pr.1.oktober -1</v>
          </cell>
          <cell r="C10">
            <v>1.0130399999999999</v>
          </cell>
          <cell r="E10">
            <v>0</v>
          </cell>
          <cell r="F10">
            <v>0</v>
          </cell>
          <cell r="G10">
            <v>0</v>
          </cell>
        </row>
        <row r="11">
          <cell r="A11" t="str">
            <v>Procentreguleringapril</v>
          </cell>
          <cell r="B11" t="str">
            <v xml:space="preserve">Beregnet procentregulering af 31. marts 2014 lønnen for første 7 mdr. af </v>
          </cell>
          <cell r="C11">
            <v>1.0190399999999997</v>
          </cell>
          <cell r="D11" t="str">
            <v>bruges ved nyt lønark</v>
          </cell>
          <cell r="F11">
            <v>0</v>
          </cell>
          <cell r="G11">
            <v>0</v>
          </cell>
        </row>
        <row r="12">
          <cell r="A12" t="str">
            <v>Procentregulering2</v>
          </cell>
          <cell r="B12" t="str">
            <v xml:space="preserve">Beregnet procentregulering af 31. marts 2012 lønnen for sidste fem mdr. af </v>
          </cell>
          <cell r="C12">
            <v>1.0210399999999999</v>
          </cell>
          <cell r="F12">
            <v>0</v>
          </cell>
          <cell r="G12">
            <v>0</v>
          </cell>
        </row>
        <row r="13">
          <cell r="A13" t="str">
            <v>ATP_A</v>
          </cell>
          <cell r="B13" t="str">
            <v xml:space="preserve">ATP A-satser 1. Januar </v>
          </cell>
          <cell r="C13">
            <v>270</v>
          </cell>
          <cell r="D13" t="str">
            <v>Sats incl arb.giver og tager bidrag</v>
          </cell>
          <cell r="F13">
            <v>0</v>
          </cell>
          <cell r="G13">
            <v>0</v>
          </cell>
        </row>
        <row r="14">
          <cell r="A14" t="str">
            <v>Gr.liv</v>
          </cell>
          <cell r="B14" t="str">
            <v>Gruppeliv april -1</v>
          </cell>
          <cell r="C14">
            <v>108.35</v>
          </cell>
          <cell r="F14">
            <v>0</v>
          </cell>
          <cell r="G14">
            <v>0</v>
          </cell>
        </row>
        <row r="15">
          <cell r="A15" t="str">
            <v>Gr.livAndre</v>
          </cell>
          <cell r="B15" t="str">
            <v>Gruppeliv øvrige ansatte august -1</v>
          </cell>
          <cell r="C15">
            <v>130</v>
          </cell>
          <cell r="F15">
            <v>0</v>
          </cell>
          <cell r="G15">
            <v>0</v>
          </cell>
        </row>
        <row r="16">
          <cell r="A16" t="str">
            <v>U.I</v>
          </cell>
          <cell r="B16" t="str">
            <v>Ulempegodtgørelse april -1</v>
          </cell>
          <cell r="C16">
            <v>59.769359999999999</v>
          </cell>
          <cell r="F16">
            <v>0</v>
          </cell>
          <cell r="G16">
            <v>0</v>
          </cell>
        </row>
        <row r="17">
          <cell r="A17" t="str">
            <v>Specuvaa1</v>
          </cell>
          <cell r="B17" t="str">
            <v xml:space="preserve">Tilskud pr. lektion á 45 min. for specialundervisning </v>
          </cell>
          <cell r="C17">
            <v>315</v>
          </cell>
          <cell r="F17">
            <v>0</v>
          </cell>
          <cell r="G17">
            <v>0</v>
          </cell>
        </row>
        <row r="18">
          <cell r="A18" t="str">
            <v>Specuvaa2</v>
          </cell>
          <cell r="B18" t="str">
            <v xml:space="preserve">Tilskud pr. lektion á 45 min. for specialundervisning </v>
          </cell>
          <cell r="C18">
            <v>315</v>
          </cell>
          <cell r="F18">
            <v>0</v>
          </cell>
          <cell r="G18">
            <v>0</v>
          </cell>
        </row>
        <row r="19">
          <cell r="A19" t="str">
            <v>stpaaedaa1</v>
          </cell>
          <cell r="B19" t="str">
            <v xml:space="preserve">Tilskud pr. time á 60 min. for støttepædagog </v>
          </cell>
          <cell r="C19">
            <v>201</v>
          </cell>
          <cell r="F19">
            <v>0</v>
          </cell>
          <cell r="G19">
            <v>0</v>
          </cell>
        </row>
        <row r="20">
          <cell r="A20" t="str">
            <v>stpaaedaa2</v>
          </cell>
          <cell r="B20" t="str">
            <v xml:space="preserve">Tilskud pr. Time a´60 min. for støttepædagog </v>
          </cell>
          <cell r="C20">
            <v>201</v>
          </cell>
          <cell r="F20">
            <v>0</v>
          </cell>
          <cell r="G20">
            <v>0</v>
          </cell>
        </row>
        <row r="21">
          <cell r="A21" t="str">
            <v>Da2uvaa1</v>
          </cell>
          <cell r="B21" t="str">
            <v xml:space="preserve">Tilskud pr. lektion for undervisning i dansk for tosprogede </v>
          </cell>
          <cell r="C21">
            <v>214</v>
          </cell>
          <cell r="F21">
            <v>0</v>
          </cell>
          <cell r="G21">
            <v>0</v>
          </cell>
        </row>
        <row r="22">
          <cell r="A22" t="str">
            <v>Da2uvaa2</v>
          </cell>
          <cell r="B22" t="str">
            <v xml:space="preserve">Tilskud pr. lektion for undervisning i dansk for tosprogede </v>
          </cell>
          <cell r="C22">
            <v>214</v>
          </cell>
          <cell r="F22">
            <v>0</v>
          </cell>
          <cell r="G22">
            <v>0</v>
          </cell>
        </row>
        <row r="23">
          <cell r="A23" t="str">
            <v>Praktiskmhjaa1</v>
          </cell>
          <cell r="B23" t="str">
            <v xml:space="preserve">Tilskud pr. time til Praktisk Medhjælp </v>
          </cell>
          <cell r="C23">
            <v>122</v>
          </cell>
          <cell r="F23">
            <v>0</v>
          </cell>
          <cell r="G23">
            <v>0</v>
          </cell>
        </row>
        <row r="24">
          <cell r="A24" t="str">
            <v>Praktiskmhjaa2</v>
          </cell>
          <cell r="B24" t="str">
            <v xml:space="preserve">Tilskud pr. time til Praktisk Medhjælp </v>
          </cell>
          <cell r="C24">
            <v>122</v>
          </cell>
          <cell r="D24" t="str">
            <v>Nyt statstilskud</v>
          </cell>
          <cell r="E24">
            <v>0</v>
          </cell>
          <cell r="F24" t="str">
            <v>Finanslov -1</v>
          </cell>
          <cell r="G24" t="str">
            <v xml:space="preserve">Finanslovsforslag </v>
          </cell>
        </row>
        <row r="25">
          <cell r="A25" t="str">
            <v>specuv</v>
          </cell>
          <cell r="B25" t="str">
            <v>Ikke-pensionsgivende tillæg for spec.u.v.(SH) (grundbeløb)</v>
          </cell>
          <cell r="C25">
            <v>14.5</v>
          </cell>
          <cell r="D25">
            <v>0</v>
          </cell>
          <cell r="E25">
            <v>0</v>
          </cell>
          <cell r="F25">
            <v>0</v>
          </cell>
          <cell r="G25">
            <v>0</v>
          </cell>
        </row>
        <row r="26">
          <cell r="A26">
            <v>0</v>
          </cell>
          <cell r="B26" t="str">
            <v>Statstilskud -1</v>
          </cell>
          <cell r="C26">
            <v>42722</v>
          </cell>
          <cell r="D26" t="str">
            <v xml:space="preserve">Grundtilskud pr. skole, </v>
          </cell>
          <cell r="E26">
            <v>0</v>
          </cell>
          <cell r="F26">
            <v>0</v>
          </cell>
          <cell r="G26">
            <v>0</v>
          </cell>
        </row>
        <row r="27">
          <cell r="A27" t="str">
            <v>StatstilskudBr</v>
          </cell>
          <cell r="B27" t="str">
            <v>Statstilskud brutto</v>
          </cell>
          <cell r="C27">
            <v>41700</v>
          </cell>
          <cell r="D27" t="str">
            <v>max 10.000 kr / årselev</v>
          </cell>
          <cell r="E27">
            <v>0</v>
          </cell>
          <cell r="F27">
            <v>400000</v>
          </cell>
          <cell r="G27">
            <v>400000</v>
          </cell>
        </row>
        <row r="28">
          <cell r="A28" t="str">
            <v>Statstilskud</v>
          </cell>
          <cell r="B28" t="str">
            <v>Statstilskud netto</v>
          </cell>
          <cell r="C28">
            <v>40000</v>
          </cell>
          <cell r="D28" t="str">
            <v>Fællesudgiftstilskud</v>
          </cell>
          <cell r="E28">
            <v>0</v>
          </cell>
          <cell r="F28">
            <v>0</v>
          </cell>
          <cell r="G28">
            <v>0</v>
          </cell>
        </row>
        <row r="29">
          <cell r="A29" t="str">
            <v>Bygtilskud01</v>
          </cell>
          <cell r="B29" t="str">
            <v>Bygningstilskud -1</v>
          </cell>
          <cell r="C29">
            <v>1986</v>
          </cell>
          <cell r="D29" t="str">
            <v>Takst1 0 - 220 elever</v>
          </cell>
          <cell r="E29">
            <v>0</v>
          </cell>
          <cell r="F29">
            <v>5623</v>
          </cell>
          <cell r="G29">
            <v>5480</v>
          </cell>
          <cell r="N29">
            <v>0</v>
          </cell>
        </row>
        <row r="30">
          <cell r="A30" t="str">
            <v>Bygtilskud</v>
          </cell>
          <cell r="B30" t="str">
            <v xml:space="preserve">Bygningstilskud </v>
          </cell>
          <cell r="C30">
            <v>2004</v>
          </cell>
          <cell r="D30" t="str">
            <v>Takst2  220 - ∞</v>
          </cell>
          <cell r="E30">
            <v>0</v>
          </cell>
          <cell r="F30">
            <v>2249</v>
          </cell>
          <cell r="G30">
            <v>2192</v>
          </cell>
        </row>
        <row r="31">
          <cell r="A31" t="str">
            <v>Bygtilskud1</v>
          </cell>
          <cell r="B31" t="str">
            <v>Bygningstilskud 1</v>
          </cell>
          <cell r="C31">
            <v>2004</v>
          </cell>
          <cell r="D31" t="str">
            <v>Undervisningstilskud</v>
          </cell>
          <cell r="E31">
            <v>0</v>
          </cell>
          <cell r="F31">
            <v>0</v>
          </cell>
          <cell r="G31">
            <v>0</v>
          </cell>
        </row>
        <row r="32">
          <cell r="A32" t="str">
            <v>Kost1</v>
          </cell>
          <cell r="B32" t="str">
            <v>Kostelev-tilskud pr. barn -1</v>
          </cell>
          <cell r="C32">
            <v>47140</v>
          </cell>
          <cell r="D32" t="str">
            <v>Takst1 elever under 13 år</v>
          </cell>
          <cell r="E32">
            <v>0</v>
          </cell>
          <cell r="F32">
            <v>29951</v>
          </cell>
          <cell r="G32">
            <v>29120</v>
          </cell>
        </row>
        <row r="33">
          <cell r="A33" t="str">
            <v>Kost</v>
          </cell>
          <cell r="B33" t="str">
            <v xml:space="preserve">Kostelev-tilskud pr. barn </v>
          </cell>
          <cell r="C33">
            <v>47376</v>
          </cell>
          <cell r="D33" t="str">
            <v xml:space="preserve">Takst2 elever over 13 år </v>
          </cell>
          <cell r="E33">
            <v>0</v>
          </cell>
          <cell r="F33">
            <v>39536</v>
          </cell>
          <cell r="G33">
            <v>38439</v>
          </cell>
        </row>
        <row r="34">
          <cell r="A34" t="str">
            <v>_SFO1</v>
          </cell>
          <cell r="B34" t="str">
            <v>SFO-tilskud pr. barn -1</v>
          </cell>
          <cell r="C34">
            <v>10967</v>
          </cell>
          <cell r="D34" t="str">
            <v>Takst 3 10.kl. pr. aug.</v>
          </cell>
          <cell r="E34">
            <v>0</v>
          </cell>
          <cell r="F34">
            <v>38431</v>
          </cell>
          <cell r="G34">
            <v>37334</v>
          </cell>
        </row>
        <row r="35">
          <cell r="A35" t="str">
            <v>SFO</v>
          </cell>
          <cell r="B35" t="str">
            <v xml:space="preserve">SFO-tilskud pr. barn </v>
          </cell>
          <cell r="C35">
            <v>11022</v>
          </cell>
          <cell r="D35" t="str">
            <v xml:space="preserve">Regionalfaktor </v>
          </cell>
          <cell r="E35">
            <v>0</v>
          </cell>
          <cell r="F35">
            <v>0</v>
          </cell>
          <cell r="G35">
            <v>0</v>
          </cell>
        </row>
        <row r="36">
          <cell r="A36" t="str">
            <v>SFOI</v>
          </cell>
          <cell r="B36" t="str">
            <v>SFO-tilskud pr. barn 1</v>
          </cell>
          <cell r="C36">
            <v>11022</v>
          </cell>
          <cell r="D36" t="str">
            <v/>
          </cell>
          <cell r="E36">
            <v>0</v>
          </cell>
          <cell r="F36">
            <v>0</v>
          </cell>
          <cell r="G36">
            <v>0</v>
          </cell>
        </row>
        <row r="37">
          <cell r="A37">
            <v>0</v>
          </cell>
          <cell r="B37" t="str">
            <v xml:space="preserve">Sprogstimulering, førskole </v>
          </cell>
          <cell r="C37">
            <v>0</v>
          </cell>
          <cell r="D37">
            <v>0</v>
          </cell>
          <cell r="E37">
            <v>0</v>
          </cell>
          <cell r="F37" t="str">
            <v>Bygtilskud</v>
          </cell>
          <cell r="G37">
            <v>2004</v>
          </cell>
        </row>
        <row r="38">
          <cell r="A38" t="str">
            <v>AER</v>
          </cell>
          <cell r="B38" t="str">
            <v>AER-bidrag pr. Fuldtidsansat - 1 ansat</v>
          </cell>
          <cell r="C38">
            <v>3004</v>
          </cell>
          <cell r="D38">
            <v>0</v>
          </cell>
          <cell r="E38">
            <v>0</v>
          </cell>
          <cell r="F38" t="str">
            <v>SFO</v>
          </cell>
          <cell r="G38">
            <v>11022</v>
          </cell>
        </row>
        <row r="39">
          <cell r="A39" t="str">
            <v>flex00</v>
          </cell>
          <cell r="B39" t="str">
            <v>Flexjobbidrag år -1 pr. årsværk</v>
          </cell>
          <cell r="C39">
            <v>3264</v>
          </cell>
          <cell r="D39">
            <v>0</v>
          </cell>
          <cell r="E39">
            <v>0</v>
          </cell>
          <cell r="F39" t="str">
            <v>Sprogstimulering</v>
          </cell>
          <cell r="G39">
            <v>0</v>
          </cell>
        </row>
        <row r="40">
          <cell r="A40" t="str">
            <v>flex01</v>
          </cell>
          <cell r="B40" t="str">
            <v>Flexjobbidrag år  pr. årsværk</v>
          </cell>
          <cell r="C40">
            <v>3624</v>
          </cell>
          <cell r="D40">
            <v>0</v>
          </cell>
        </row>
        <row r="41">
          <cell r="A41" t="str">
            <v>barsel</v>
          </cell>
          <cell r="B41" t="str">
            <v>Bidrag til Barselsudligning (Kun børnehavepædagoger)</v>
          </cell>
          <cell r="C41">
            <v>936</v>
          </cell>
          <cell r="D41">
            <v>0</v>
          </cell>
        </row>
        <row r="42">
          <cell r="A42" t="str">
            <v>DFkont</v>
          </cell>
          <cell r="B42" t="str">
            <v>Kontingent pr. elev til Dansk Friskoleforening</v>
          </cell>
          <cell r="C42">
            <v>217</v>
          </cell>
        </row>
        <row r="43">
          <cell r="A43" t="str">
            <v>Vik.kas</v>
          </cell>
          <cell r="B43" t="str">
            <v xml:space="preserve">Egendækning til „Vikarkassen" underFordelingssekretariatet januar </v>
          </cell>
          <cell r="C43">
            <v>35</v>
          </cell>
        </row>
        <row r="44">
          <cell r="A44" t="str">
            <v>fremskrivning</v>
          </cell>
          <cell r="B44" t="str">
            <v xml:space="preserve">Faste udgifter fremskrives med % </v>
          </cell>
          <cell r="C44">
            <v>1.7500000000000002E-2</v>
          </cell>
        </row>
        <row r="45">
          <cell r="A45">
            <v>0</v>
          </cell>
          <cell r="B45">
            <v>0</v>
          </cell>
        </row>
        <row r="46">
          <cell r="A46" t="str">
            <v>skoleår</v>
          </cell>
          <cell r="B46" t="str">
            <v>kalender-dage</v>
          </cell>
          <cell r="C46" t="str">
            <v>lø/søndage</v>
          </cell>
          <cell r="D46" t="str">
            <v>SH-dage</v>
          </cell>
          <cell r="E46" t="str">
            <v>sommer-ferie-start</v>
          </cell>
          <cell r="F46" t="str">
            <v>sommer-ferie-slut</v>
          </cell>
          <cell r="G46" t="str">
            <v>ferie-dage</v>
          </cell>
        </row>
        <row r="47">
          <cell r="A47" t="str">
            <v>2004/05</v>
          </cell>
          <cell r="B47">
            <v>365</v>
          </cell>
          <cell r="C47">
            <v>105</v>
          </cell>
          <cell r="D47">
            <v>6</v>
          </cell>
          <cell r="E47">
            <v>37068</v>
          </cell>
          <cell r="F47">
            <v>37467</v>
          </cell>
          <cell r="G47">
            <v>25</v>
          </cell>
        </row>
        <row r="48">
          <cell r="A48" t="str">
            <v>2005/06</v>
          </cell>
          <cell r="B48">
            <v>365</v>
          </cell>
          <cell r="C48">
            <v>104</v>
          </cell>
          <cell r="D48">
            <v>7</v>
          </cell>
          <cell r="E48">
            <v>37433</v>
          </cell>
          <cell r="F48">
            <v>37467</v>
          </cell>
          <cell r="G48">
            <v>25</v>
          </cell>
        </row>
        <row r="49">
          <cell r="A49" t="str">
            <v>2006/07</v>
          </cell>
          <cell r="B49">
            <v>365</v>
          </cell>
          <cell r="C49">
            <v>104</v>
          </cell>
          <cell r="D49">
            <v>9</v>
          </cell>
          <cell r="E49">
            <v>37803</v>
          </cell>
          <cell r="F49">
            <v>37835</v>
          </cell>
          <cell r="G49">
            <v>22</v>
          </cell>
        </row>
        <row r="50">
          <cell r="A50" t="str">
            <v>2007/08</v>
          </cell>
          <cell r="B50">
            <v>366</v>
          </cell>
          <cell r="C50">
            <v>104</v>
          </cell>
          <cell r="D50">
            <v>9</v>
          </cell>
          <cell r="E50">
            <v>38171</v>
          </cell>
          <cell r="F50">
            <v>38205</v>
          </cell>
          <cell r="G50">
            <v>23</v>
          </cell>
        </row>
        <row r="51">
          <cell r="A51" t="str">
            <v>2008/09</v>
          </cell>
          <cell r="B51">
            <v>365</v>
          </cell>
          <cell r="C51">
            <v>104</v>
          </cell>
          <cell r="D51">
            <v>9</v>
          </cell>
          <cell r="E51">
            <v>38538</v>
          </cell>
          <cell r="F51">
            <v>38570</v>
          </cell>
          <cell r="G51">
            <v>25</v>
          </cell>
        </row>
        <row r="52">
          <cell r="A52" t="str">
            <v>2009/10</v>
          </cell>
          <cell r="B52">
            <v>365</v>
          </cell>
          <cell r="C52">
            <v>105</v>
          </cell>
          <cell r="D52">
            <v>8</v>
          </cell>
          <cell r="E52">
            <v>38902</v>
          </cell>
          <cell r="F52">
            <v>38934</v>
          </cell>
          <cell r="G52">
            <v>25</v>
          </cell>
        </row>
        <row r="53">
          <cell r="A53" t="str">
            <v>2010/11</v>
          </cell>
          <cell r="B53">
            <v>365</v>
          </cell>
          <cell r="C53">
            <v>105</v>
          </cell>
          <cell r="D53">
            <v>6</v>
          </cell>
          <cell r="E53">
            <v>39266</v>
          </cell>
          <cell r="F53">
            <v>39298</v>
          </cell>
          <cell r="G53">
            <v>25</v>
          </cell>
        </row>
        <row r="54">
          <cell r="A54" t="str">
            <v>2011/12</v>
          </cell>
          <cell r="B54">
            <v>366</v>
          </cell>
          <cell r="C54">
            <v>104</v>
          </cell>
          <cell r="D54">
            <v>7</v>
          </cell>
          <cell r="E54">
            <v>39632</v>
          </cell>
          <cell r="F54">
            <v>39666</v>
          </cell>
          <cell r="G54">
            <v>25</v>
          </cell>
        </row>
        <row r="55">
          <cell r="A55" t="str">
            <v>2012/13</v>
          </cell>
          <cell r="B55">
            <v>365</v>
          </cell>
          <cell r="C55">
            <v>104</v>
          </cell>
          <cell r="D55">
            <v>9</v>
          </cell>
          <cell r="E55">
            <v>39997</v>
          </cell>
          <cell r="F55">
            <v>40031</v>
          </cell>
          <cell r="G55">
            <v>25</v>
          </cell>
        </row>
        <row r="56">
          <cell r="A56" t="str">
            <v>2013/14</v>
          </cell>
          <cell r="B56">
            <v>365</v>
          </cell>
          <cell r="C56">
            <v>104</v>
          </cell>
          <cell r="D56">
            <v>9</v>
          </cell>
          <cell r="E56">
            <v>40362</v>
          </cell>
          <cell r="F56">
            <v>40396</v>
          </cell>
          <cell r="G56">
            <v>25</v>
          </cell>
        </row>
        <row r="57">
          <cell r="A57" t="str">
            <v>2014/15</v>
          </cell>
          <cell r="B57">
            <v>365</v>
          </cell>
          <cell r="C57">
            <v>104</v>
          </cell>
          <cell r="D57">
            <v>9</v>
          </cell>
          <cell r="E57">
            <v>40729</v>
          </cell>
          <cell r="F57">
            <v>40761</v>
          </cell>
          <cell r="G57">
            <v>25</v>
          </cell>
        </row>
        <row r="58">
          <cell r="A58" t="str">
            <v>2015/16</v>
          </cell>
          <cell r="B58">
            <v>366</v>
          </cell>
          <cell r="C58">
            <v>106</v>
          </cell>
          <cell r="D58">
            <v>8</v>
          </cell>
          <cell r="E58">
            <v>41093</v>
          </cell>
          <cell r="F58">
            <v>41125</v>
          </cell>
          <cell r="G58">
            <v>25</v>
          </cell>
        </row>
        <row r="59">
          <cell r="A59" t="str">
            <v>2016/17</v>
          </cell>
          <cell r="B59">
            <v>365</v>
          </cell>
          <cell r="C59">
            <v>104</v>
          </cell>
          <cell r="D59">
            <v>8</v>
          </cell>
          <cell r="E59">
            <v>41458</v>
          </cell>
          <cell r="F59">
            <v>41492</v>
          </cell>
          <cell r="G59">
            <v>25</v>
          </cell>
        </row>
        <row r="60">
          <cell r="A60" t="str">
            <v>2017/18</v>
          </cell>
          <cell r="B60">
            <v>365</v>
          </cell>
          <cell r="C60">
            <v>104</v>
          </cell>
          <cell r="D60">
            <v>9</v>
          </cell>
          <cell r="E60">
            <v>41827</v>
          </cell>
          <cell r="F60">
            <v>41857</v>
          </cell>
          <cell r="G60">
            <v>25</v>
          </cell>
        </row>
        <row r="61">
          <cell r="A61" t="str">
            <v>2018/19</v>
          </cell>
          <cell r="B61">
            <v>365</v>
          </cell>
          <cell r="C61">
            <v>104</v>
          </cell>
          <cell r="D61">
            <v>9</v>
          </cell>
          <cell r="E61">
            <v>42188</v>
          </cell>
          <cell r="F61">
            <v>42222</v>
          </cell>
          <cell r="G61">
            <v>25</v>
          </cell>
        </row>
        <row r="62">
          <cell r="A62" t="str">
            <v>2019/20</v>
          </cell>
          <cell r="B62">
            <v>366</v>
          </cell>
          <cell r="C62">
            <v>104</v>
          </cell>
          <cell r="D62">
            <v>9</v>
          </cell>
          <cell r="E62">
            <v>42556</v>
          </cell>
          <cell r="F62">
            <v>42588</v>
          </cell>
          <cell r="G62">
            <v>25</v>
          </cell>
        </row>
        <row r="64">
          <cell r="A64">
            <v>0</v>
          </cell>
          <cell r="B64">
            <v>0</v>
          </cell>
          <cell r="C64">
            <v>0</v>
          </cell>
        </row>
      </sheetData>
      <sheetData sheetId="2">
        <row r="104">
          <cell r="C104">
            <v>9.7500000000000003E-2</v>
          </cell>
        </row>
      </sheetData>
      <sheetData sheetId="3"/>
      <sheetData sheetId="4">
        <row r="1">
          <cell r="M1">
            <v>2009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D21">
            <v>1672</v>
          </cell>
        </row>
      </sheetData>
      <sheetData sheetId="23">
        <row r="18">
          <cell r="C18">
            <v>0</v>
          </cell>
        </row>
      </sheetData>
      <sheetData sheetId="24"/>
      <sheetData sheetId="25"/>
      <sheetData sheetId="26"/>
      <sheetData sheetId="27"/>
      <sheetData sheetId="28">
        <row r="4">
          <cell r="A4">
            <v>1</v>
          </cell>
        </row>
      </sheetData>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penge"/>
      <sheetName val="Byt"/>
    </sheetNames>
    <definedNames>
      <definedName name="bytom"/>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
      <sheetName val="Nylønstillæg"/>
      <sheetName val="Trin4tillaeg"/>
      <sheetName val="LonspecAar"/>
      <sheetName val="LonspecAlle"/>
      <sheetName val="Lonspec"/>
      <sheetName val="A"/>
      <sheetName val="B"/>
      <sheetName val="C"/>
      <sheetName val="D"/>
      <sheetName val="E"/>
      <sheetName val="F"/>
      <sheetName val="G"/>
      <sheetName val="H"/>
      <sheetName val="I"/>
      <sheetName val="J"/>
      <sheetName val="K"/>
      <sheetName val="L"/>
      <sheetName val="M"/>
      <sheetName val="N"/>
      <sheetName val="O"/>
      <sheetName val="P"/>
      <sheetName val="LonspecLeder"/>
      <sheetName val="Leder"/>
      <sheetName val="Grundlon"/>
      <sheetName val="andre"/>
      <sheetName val="Grundlon12"/>
      <sheetName val="Ex09_10"/>
      <sheetName val="Ex10_11"/>
      <sheetName val="Ex11_12"/>
      <sheetName val="Ex12_13"/>
      <sheetName val="Ex13_14"/>
    </sheetNames>
    <sheetDataSet>
      <sheetData sheetId="0"/>
      <sheetData sheetId="1"/>
      <sheetData sheetId="2"/>
      <sheetData sheetId="3"/>
      <sheetData sheetId="4"/>
      <sheetData sheetId="5">
        <row r="5">
          <cell r="I5" t="str">
            <v>AUG</v>
          </cell>
          <cell r="J5" t="str">
            <v>d</v>
          </cell>
        </row>
        <row r="6">
          <cell r="I6" t="str">
            <v>SEP</v>
          </cell>
          <cell r="J6" t="str">
            <v>e</v>
          </cell>
        </row>
        <row r="7">
          <cell r="I7" t="str">
            <v>OKT</v>
          </cell>
          <cell r="J7" t="str">
            <v>f</v>
          </cell>
        </row>
        <row r="8">
          <cell r="I8" t="str">
            <v>NOV</v>
          </cell>
          <cell r="J8" t="str">
            <v>g</v>
          </cell>
        </row>
        <row r="9">
          <cell r="I9" t="str">
            <v>DEC</v>
          </cell>
          <cell r="J9" t="str">
            <v>h</v>
          </cell>
        </row>
        <row r="10">
          <cell r="I10" t="str">
            <v>JAN</v>
          </cell>
          <cell r="J10" t="str">
            <v>i</v>
          </cell>
        </row>
        <row r="11">
          <cell r="I11" t="str">
            <v>FEB</v>
          </cell>
          <cell r="J11" t="str">
            <v>j</v>
          </cell>
        </row>
        <row r="12">
          <cell r="I12" t="str">
            <v>MAR</v>
          </cell>
          <cell r="J12" t="str">
            <v>k</v>
          </cell>
        </row>
        <row r="13">
          <cell r="I13" t="str">
            <v>APR</v>
          </cell>
          <cell r="J13" t="str">
            <v>l</v>
          </cell>
        </row>
        <row r="14">
          <cell r="I14" t="str">
            <v>MAJ</v>
          </cell>
          <cell r="J14" t="str">
            <v>m</v>
          </cell>
        </row>
        <row r="15">
          <cell r="I15" t="str">
            <v>JUN</v>
          </cell>
          <cell r="J15" t="str">
            <v>n</v>
          </cell>
        </row>
        <row r="16">
          <cell r="I16" t="str">
            <v>JUL</v>
          </cell>
          <cell r="J16" t="str">
            <v>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I5" t="str">
            <v>AUG</v>
          </cell>
          <cell r="J5" t="str">
            <v>d</v>
          </cell>
        </row>
        <row r="6">
          <cell r="I6" t="str">
            <v>SEP</v>
          </cell>
          <cell r="J6" t="str">
            <v>e</v>
          </cell>
        </row>
        <row r="7">
          <cell r="I7" t="str">
            <v>OKT</v>
          </cell>
          <cell r="J7" t="str">
            <v>f</v>
          </cell>
        </row>
        <row r="8">
          <cell r="I8" t="str">
            <v>NOV</v>
          </cell>
          <cell r="J8" t="str">
            <v>g</v>
          </cell>
        </row>
        <row r="9">
          <cell r="I9" t="str">
            <v>DEC</v>
          </cell>
          <cell r="J9" t="str">
            <v>h</v>
          </cell>
        </row>
        <row r="10">
          <cell r="I10" t="str">
            <v>JAN</v>
          </cell>
          <cell r="J10" t="str">
            <v>i</v>
          </cell>
        </row>
        <row r="11">
          <cell r="I11" t="str">
            <v>FEB</v>
          </cell>
          <cell r="J11" t="str">
            <v>j</v>
          </cell>
        </row>
        <row r="12">
          <cell r="I12" t="str">
            <v>MAR</v>
          </cell>
          <cell r="J12" t="str">
            <v>k</v>
          </cell>
        </row>
        <row r="13">
          <cell r="I13" t="str">
            <v>APR</v>
          </cell>
          <cell r="J13" t="str">
            <v>l</v>
          </cell>
        </row>
        <row r="14">
          <cell r="I14" t="str">
            <v>MAJ</v>
          </cell>
          <cell r="J14" t="str">
            <v>m</v>
          </cell>
        </row>
        <row r="15">
          <cell r="I15" t="str">
            <v>JUN</v>
          </cell>
          <cell r="J15" t="str">
            <v>n</v>
          </cell>
        </row>
        <row r="16">
          <cell r="I16" t="str">
            <v>JUL</v>
          </cell>
          <cell r="J16" t="str">
            <v>o</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1.304E-2</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assificering 95"/>
      <sheetName val="Klassificering 97"/>
      <sheetName val="Klassificering 00"/>
      <sheetName val="Klassificering 04"/>
      <sheetName val="ATP"/>
      <sheetName val="intervalløn"/>
      <sheetName val="Uv.till."/>
      <sheetName val="Klassificering 09"/>
      <sheetName val="natpenge og tillæg"/>
      <sheetName val="Løn&amp;arb.tid"/>
      <sheetName val="Grundlon"/>
      <sheetName val="Grundlon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v>1.304E-2</v>
          </cell>
        </row>
      </sheetData>
      <sheetData sheetId="9" refreshError="1"/>
      <sheetData sheetId="10">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sheetData>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Tove Dohn" id="{4CFBDF9A-B7B6-4148-99B8-675E602F24B3}" userId="Tove Dohn" providerId="None"/>
  <person displayName="Tove Dohn" id="{EC1CC869-23FC-024D-A876-BDE7DE7FC7B7}" userId="S::tove@friskolerne.dk::cf832d71-50f8-4653-95bd-ced5cfa07810"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1</v>
  </rv>
  <rv s="1">
    <v>2</v>
    <v>1</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 personId="{4CFBDF9A-B7B6-4148-99B8-675E602F24B3}" id="{BE3AF0E5-2F6A-C944-BFC4-89EE673A2615}">
    <text>Tove Dohn: 
Elevtal under 350 = 353.412,- i årligt grundbeløb. 
Elevtal på eller over 350 = 396.929,- i årligt  grundbeløb. 
Hertil  kan der være et udligningstillæg beregnet i 2019 samt lokale tillæg.</text>
  </threadedComment>
  <threadedComment ref="B87" dT="2020-10-10T09:00:11.07" personId="{EC1CC869-23FC-024D-A876-BDE7DE7FC7B7}" id="{5B3B0BD1-7452-0042-827E-F576144014A8}">
    <text xml:space="preserve">Hvis en ansat har mere end 1 kolonne pga. feks. lønændring, barsel eller fratrædelse skal kun oplyse skyldige feriedage i en af kolonnerne. </text>
  </threadedComment>
</ThreadedComments>
</file>

<file path=xl/threadedComments/threadedComment2.xml><?xml version="1.0" encoding="utf-8"?>
<ThreadedComments xmlns="http://schemas.microsoft.com/office/spreadsheetml/2018/threadedcomments" xmlns:x="http://schemas.openxmlformats.org/spreadsheetml/2006/main">
  <threadedComment ref="B75" dT="2020-10-10T09:00:11.07" personId="{EC1CC869-23FC-024D-A876-BDE7DE7FC7B7}" id="{C6A80ED0-6B1D-4048-917F-FBA122BEA6A8}">
    <text xml:space="preserve">Hvis en ansat har mere end 1 kolonne pga. feks. lønændring, barsel eller fratrædelse skal kun oplyse skyldige feriedage i en af kolonnerne. </text>
  </threadedComment>
</ThreadedComments>
</file>

<file path=xl/threadedComments/threadedComment3.xml><?xml version="1.0" encoding="utf-8"?>
<ThreadedComments xmlns="http://schemas.microsoft.com/office/spreadsheetml/2018/threadedcomments" xmlns:x="http://schemas.openxmlformats.org/spreadsheetml/2006/main">
  <threadedComment ref="E3" dT="2019-09-17T10:46:06.21" personId="{EC1CC869-23FC-024D-A876-BDE7DE7FC7B7}" id="{CE2744AF-F4E2-D446-97F9-4F7599637F9D}">
    <text>Bruges særligt i forbindelse med opstart af daginstitution, hvor antallet af forældrebetalte rater i dette budgetår kan være lavere end i et helt almindeligt finansår.
Er daginstitutionen kørende og altså ikke nyopstartet skrives samme antal mdr. i begge celler.</text>
  </threadedComment>
  <threadedComment ref="T3" dT="2019-09-17T10:48:16.67" personId="{EC1CC869-23FC-024D-A876-BDE7DE7FC7B7}" id="{181D65AC-B732-3642-B9B1-7EBE4E540F62}">
    <text>Bruges særligt i forbindelse med opstart af daginstitution, hvor antallet af kommunal betalte rater i dette budgetår kan være lavere end i et helt almindeligt finansår.
Er daginstitutionen kørende og altså ikke nyopstartet skrives samme antal mdr. i begge celler.</text>
  </threadedComment>
  <threadedComment ref="E39" dT="2019-09-17T10:46:06.21" personId="{EC1CC869-23FC-024D-A876-BDE7DE7FC7B7}" id="{B02B7958-3E4A-7841-8A55-DE33D8167A1E}">
    <text>Bruges særligt i forbindelse med opstart af daginstitution, hvor antallet af forældrebetalte rater i dette budgetår kan være lavere end i et helt almindeligt finansår.
Er daginstitutionen kørende og altså ikke nyopstartet skrives samme antal mdr. i begge celler.</text>
  </threadedComment>
  <threadedComment ref="T39" dT="2019-09-17T10:48:16.67" personId="{EC1CC869-23FC-024D-A876-BDE7DE7FC7B7}" id="{380510AB-B41A-614F-A30F-597F22F22FDE}">
    <text>Bruges særligt i forbindelse med opstart af daginstitution, hvor antallet af kommunal betalte rater i dette budgetår kan være lavere end i et helt almindeligt finansår.
Er daginstitutionen kørende og altså ikke nyopstartet skrives samme antal mdr. i begge celler.</text>
  </threadedComment>
</ThreadedComment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drawing" Target="../drawings/drawing9.xm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150" zoomScaleNormal="100" workbookViewId="0">
      <selection activeCell="A5" sqref="A5:J5"/>
    </sheetView>
  </sheetViews>
  <sheetFormatPr baseColWidth="10" defaultColWidth="11.5" defaultRowHeight="13"/>
  <cols>
    <col min="1" max="1" width="8" customWidth="1"/>
    <col min="10" max="10" width="21.83203125" customWidth="1"/>
  </cols>
  <sheetData>
    <row r="1" spans="1:10" s="2557" customFormat="1"/>
    <row r="2" spans="1:10" ht="25">
      <c r="A2" s="2560" t="s">
        <v>816</v>
      </c>
      <c r="B2" s="2560"/>
      <c r="C2" s="2560"/>
      <c r="D2" s="2560"/>
      <c r="E2" s="2560"/>
      <c r="F2" s="2560"/>
      <c r="G2" s="2560"/>
      <c r="H2" s="2560"/>
      <c r="I2" s="2560"/>
      <c r="J2" s="2560"/>
    </row>
    <row r="3" spans="1:10" ht="16">
      <c r="A3" s="2561" t="s">
        <v>817</v>
      </c>
      <c r="B3" s="2561"/>
      <c r="C3" s="2561"/>
      <c r="D3" s="2561"/>
      <c r="E3" s="2561"/>
      <c r="F3" s="2561"/>
      <c r="G3" s="2561"/>
      <c r="H3" s="2561"/>
      <c r="I3" s="2561"/>
      <c r="J3" s="2561"/>
    </row>
    <row r="4" spans="1:10" ht="17" thickBot="1">
      <c r="A4" s="929"/>
      <c r="B4" s="929"/>
      <c r="C4" s="929"/>
      <c r="D4" s="929"/>
      <c r="E4" s="929"/>
      <c r="F4" s="929"/>
      <c r="G4" s="929"/>
      <c r="H4" s="929"/>
      <c r="I4" s="929"/>
      <c r="J4" s="929"/>
    </row>
    <row r="5" spans="1:10" ht="16">
      <c r="A5" s="2562" t="s">
        <v>1113</v>
      </c>
      <c r="B5" s="2563"/>
      <c r="C5" s="2563"/>
      <c r="D5" s="2563"/>
      <c r="E5" s="2563"/>
      <c r="F5" s="2563"/>
      <c r="G5" s="2563"/>
      <c r="H5" s="2563"/>
      <c r="I5" s="2563"/>
      <c r="J5" s="2564"/>
    </row>
    <row r="6" spans="1:10" ht="16">
      <c r="A6" s="2544" t="s">
        <v>1469</v>
      </c>
      <c r="B6" s="2545"/>
      <c r="C6" s="2545"/>
      <c r="D6" s="2545"/>
      <c r="E6" s="2545"/>
      <c r="F6" s="2545"/>
      <c r="G6" s="2545"/>
      <c r="H6" s="2545"/>
      <c r="I6" s="2545"/>
      <c r="J6" s="2546"/>
    </row>
    <row r="7" spans="1:10" ht="7" customHeight="1">
      <c r="A7" s="2544"/>
      <c r="B7" s="2545"/>
      <c r="C7" s="2545"/>
      <c r="D7" s="2545"/>
      <c r="E7" s="2545"/>
      <c r="F7" s="2545"/>
      <c r="G7" s="2545"/>
      <c r="H7" s="2545"/>
      <c r="I7" s="2545"/>
      <c r="J7" s="2546"/>
    </row>
    <row r="8" spans="1:10" ht="16" customHeight="1">
      <c r="A8" s="2547" t="s">
        <v>1470</v>
      </c>
      <c r="B8" s="2545"/>
      <c r="C8" s="2545"/>
      <c r="D8" s="2545"/>
      <c r="E8" s="2545"/>
      <c r="F8" s="2545"/>
      <c r="G8" s="2545"/>
      <c r="H8" s="2545"/>
      <c r="I8" s="2545"/>
      <c r="J8" s="2546"/>
    </row>
    <row r="9" spans="1:10" ht="134" customHeight="1">
      <c r="A9" s="2565" t="s">
        <v>1475</v>
      </c>
      <c r="B9" s="2566"/>
      <c r="C9" s="2566"/>
      <c r="D9" s="2566"/>
      <c r="E9" s="2566"/>
      <c r="F9" s="2566"/>
      <c r="G9" s="2566"/>
      <c r="H9" s="2566"/>
      <c r="I9" s="2566"/>
      <c r="J9" s="2567"/>
    </row>
    <row r="10" spans="1:10" ht="135" customHeight="1">
      <c r="A10" s="2580" t="s">
        <v>1471</v>
      </c>
      <c r="B10" s="2581"/>
      <c r="C10" s="2581"/>
      <c r="D10" s="2581"/>
      <c r="E10" s="2581"/>
      <c r="F10" s="2581"/>
      <c r="G10" s="2581"/>
      <c r="H10" s="2581"/>
      <c r="I10" s="2581"/>
      <c r="J10" s="2582"/>
    </row>
    <row r="11" spans="1:10" ht="45" customHeight="1" thickBot="1">
      <c r="A11" s="2583" t="s">
        <v>1497</v>
      </c>
      <c r="B11" s="2584"/>
      <c r="C11" s="2584"/>
      <c r="D11" s="2584"/>
      <c r="E11" s="2584"/>
      <c r="F11" s="2584"/>
      <c r="G11" s="2584"/>
      <c r="H11" s="2584"/>
      <c r="I11" s="2584"/>
      <c r="J11" s="2585"/>
    </row>
    <row r="12" spans="1:10" ht="28" customHeight="1">
      <c r="A12" s="2587" t="s">
        <v>1380</v>
      </c>
      <c r="B12" s="2588"/>
      <c r="C12" s="2588"/>
      <c r="D12" s="2588"/>
      <c r="E12" s="2588"/>
      <c r="F12" s="2588"/>
      <c r="G12" s="2588"/>
      <c r="H12" s="2588"/>
      <c r="I12" s="2588"/>
      <c r="J12" s="2589"/>
    </row>
    <row r="13" spans="1:10" ht="54" customHeight="1">
      <c r="A13" s="2554" t="s">
        <v>1473</v>
      </c>
      <c r="B13" s="2555"/>
      <c r="C13" s="2555"/>
      <c r="D13" s="2555"/>
      <c r="E13" s="2555"/>
      <c r="F13" s="2555"/>
      <c r="G13" s="2555"/>
      <c r="H13" s="2555"/>
      <c r="I13" s="2555"/>
      <c r="J13" s="2556"/>
    </row>
    <row r="14" spans="1:10" ht="71" customHeight="1">
      <c r="A14" s="2554" t="s">
        <v>1474</v>
      </c>
      <c r="B14" s="2555"/>
      <c r="C14" s="2555"/>
      <c r="D14" s="2555"/>
      <c r="E14" s="2555"/>
      <c r="F14" s="2555"/>
      <c r="G14" s="2555"/>
      <c r="H14" s="2555"/>
      <c r="I14" s="2555"/>
      <c r="J14" s="2556"/>
    </row>
    <row r="15" spans="1:10" ht="26" customHeight="1">
      <c r="A15" s="2292" t="s">
        <v>1322</v>
      </c>
      <c r="B15" s="2293"/>
      <c r="C15" s="2293"/>
      <c r="D15" s="2293"/>
      <c r="E15" s="2293"/>
      <c r="F15" s="2293"/>
      <c r="G15" s="2293"/>
      <c r="H15" s="2293"/>
      <c r="I15" s="2293"/>
      <c r="J15" s="2294"/>
    </row>
    <row r="16" spans="1:10" ht="17" customHeight="1">
      <c r="A16" s="2295" t="s">
        <v>1320</v>
      </c>
      <c r="B16" s="2293"/>
      <c r="C16" s="2293"/>
      <c r="D16" s="2293"/>
      <c r="E16" s="2293"/>
      <c r="F16" s="2293"/>
      <c r="G16" s="2293"/>
      <c r="H16" s="2293"/>
      <c r="I16" s="2293"/>
      <c r="J16" s="2294"/>
    </row>
    <row r="17" spans="1:10" ht="82" customHeight="1">
      <c r="A17" s="2568" t="s">
        <v>1472</v>
      </c>
      <c r="B17" s="2569"/>
      <c r="C17" s="2569"/>
      <c r="D17" s="2569"/>
      <c r="E17" s="2569"/>
      <c r="F17" s="2569"/>
      <c r="G17" s="2569"/>
      <c r="H17" s="2569"/>
      <c r="I17" s="2569"/>
      <c r="J17" s="2570"/>
    </row>
    <row r="18" spans="1:10" ht="24" customHeight="1">
      <c r="A18" s="2296" t="s">
        <v>1240</v>
      </c>
      <c r="B18" s="2293"/>
      <c r="C18" s="2293"/>
      <c r="D18" s="2293"/>
      <c r="E18" s="2293"/>
      <c r="F18" s="2293"/>
      <c r="G18" s="2293"/>
      <c r="H18" s="2293"/>
      <c r="I18" s="2293"/>
      <c r="J18" s="2294"/>
    </row>
    <row r="19" spans="1:10" ht="35" customHeight="1" thickBot="1">
      <c r="A19" s="2571" t="s">
        <v>1241</v>
      </c>
      <c r="B19" s="2572"/>
      <c r="C19" s="2572"/>
      <c r="D19" s="2572"/>
      <c r="E19" s="2572"/>
      <c r="F19" s="2572"/>
      <c r="G19" s="2572"/>
      <c r="H19" s="2572"/>
      <c r="I19" s="2572"/>
      <c r="J19" s="2573"/>
    </row>
    <row r="20" spans="1:10" s="786" customFormat="1" ht="23" customHeight="1">
      <c r="A20" s="930"/>
      <c r="B20" s="930"/>
      <c r="C20" s="930"/>
      <c r="D20" s="930"/>
      <c r="E20" s="930"/>
      <c r="F20" s="930"/>
      <c r="G20" s="930"/>
      <c r="H20" s="930"/>
      <c r="I20" s="930"/>
      <c r="J20" s="930"/>
    </row>
    <row r="21" spans="1:10" ht="16">
      <c r="A21" s="1395" t="s">
        <v>1114</v>
      </c>
      <c r="B21" s="1396"/>
      <c r="C21" s="1396"/>
      <c r="D21" s="1396"/>
      <c r="E21" s="1396"/>
      <c r="F21" s="1396"/>
      <c r="G21" s="1396"/>
      <c r="H21" s="1396"/>
      <c r="I21" s="1396"/>
      <c r="J21" s="1397"/>
    </row>
    <row r="22" spans="1:10" s="786" customFormat="1" ht="27" customHeight="1">
      <c r="A22" s="2574" t="s">
        <v>1049</v>
      </c>
      <c r="B22" s="2575"/>
      <c r="C22" s="2575"/>
      <c r="D22" s="2575"/>
      <c r="E22" s="2575"/>
      <c r="F22" s="2575"/>
      <c r="G22" s="2575"/>
      <c r="H22" s="2575"/>
      <c r="I22" s="2575"/>
      <c r="J22" s="2576"/>
    </row>
    <row r="23" spans="1:10" s="786" customFormat="1" ht="14" customHeight="1">
      <c r="A23" s="2577" t="s">
        <v>1050</v>
      </c>
      <c r="B23" s="2578"/>
      <c r="C23" s="2578"/>
      <c r="D23" s="2578"/>
      <c r="E23" s="2578"/>
      <c r="F23" s="2578"/>
      <c r="G23" s="2578"/>
      <c r="H23" s="2578"/>
      <c r="I23" s="2578"/>
      <c r="J23" s="2579"/>
    </row>
    <row r="24" spans="1:10" ht="19" customHeight="1">
      <c r="A24" s="2559">
        <v>1</v>
      </c>
      <c r="B24" s="2558" t="s">
        <v>1323</v>
      </c>
      <c r="C24" s="2558"/>
      <c r="D24" s="2558"/>
      <c r="E24" s="2558"/>
      <c r="F24" s="2558"/>
      <c r="G24" s="2558"/>
      <c r="H24" s="2558"/>
      <c r="I24" s="2558"/>
      <c r="J24" s="2558"/>
    </row>
    <row r="25" spans="1:10" ht="17" customHeight="1">
      <c r="A25" s="2559"/>
      <c r="B25" s="2558"/>
      <c r="C25" s="2558"/>
      <c r="D25" s="2558"/>
      <c r="E25" s="2558"/>
      <c r="F25" s="2558"/>
      <c r="G25" s="2558"/>
      <c r="H25" s="2558"/>
      <c r="I25" s="2558"/>
      <c r="J25" s="2558"/>
    </row>
    <row r="26" spans="1:10" ht="18" customHeight="1">
      <c r="A26" s="2548">
        <v>2</v>
      </c>
      <c r="B26" s="2595" t="s">
        <v>1047</v>
      </c>
      <c r="C26" s="2595"/>
      <c r="D26" s="2595"/>
      <c r="E26" s="2595"/>
      <c r="F26" s="2595"/>
      <c r="G26" s="2595"/>
      <c r="H26" s="2595"/>
      <c r="I26" s="2595"/>
      <c r="J26" s="2595"/>
    </row>
    <row r="27" spans="1:10" ht="35" customHeight="1">
      <c r="A27" s="2549"/>
      <c r="B27" s="2595"/>
      <c r="C27" s="2595"/>
      <c r="D27" s="2595"/>
      <c r="E27" s="2595"/>
      <c r="F27" s="2595"/>
      <c r="G27" s="2595"/>
      <c r="H27" s="2595"/>
      <c r="I27" s="2595"/>
      <c r="J27" s="2595"/>
    </row>
    <row r="28" spans="1:10" ht="37" customHeight="1">
      <c r="A28" s="2549"/>
      <c r="B28" s="2551" t="s">
        <v>1324</v>
      </c>
      <c r="C28" s="2552"/>
      <c r="D28" s="2552"/>
      <c r="E28" s="2552"/>
      <c r="F28" s="2552"/>
      <c r="G28" s="2552"/>
      <c r="H28" s="2552"/>
      <c r="I28" s="2552"/>
      <c r="J28" s="2553"/>
    </row>
    <row r="29" spans="1:10" ht="18" customHeight="1">
      <c r="A29" s="2549"/>
      <c r="B29" s="2592" t="s">
        <v>1381</v>
      </c>
      <c r="C29" s="2593"/>
      <c r="D29" s="2593"/>
      <c r="E29" s="2593"/>
      <c r="F29" s="2593"/>
      <c r="G29" s="2593"/>
      <c r="H29" s="2593"/>
      <c r="I29" s="2593"/>
      <c r="J29" s="2594"/>
    </row>
    <row r="30" spans="1:10" ht="17" customHeight="1">
      <c r="A30" s="2549"/>
      <c r="B30" s="2608" t="s">
        <v>1476</v>
      </c>
      <c r="C30" s="2608"/>
      <c r="D30" s="2608"/>
      <c r="E30" s="2608"/>
      <c r="F30" s="2608"/>
      <c r="G30" s="2608"/>
      <c r="H30" s="2608"/>
      <c r="I30" s="2608"/>
      <c r="J30" s="2608"/>
    </row>
    <row r="31" spans="1:10" ht="18" customHeight="1">
      <c r="A31" s="2549"/>
      <c r="B31" s="2608"/>
      <c r="C31" s="2608"/>
      <c r="D31" s="2608"/>
      <c r="E31" s="2608"/>
      <c r="F31" s="2608"/>
      <c r="G31" s="2608"/>
      <c r="H31" s="2608"/>
      <c r="I31" s="2608"/>
      <c r="J31" s="2608"/>
    </row>
    <row r="32" spans="1:10" ht="2" customHeight="1">
      <c r="A32" s="2549"/>
      <c r="B32" s="2608"/>
      <c r="C32" s="2608"/>
      <c r="D32" s="2608"/>
      <c r="E32" s="2608"/>
      <c r="F32" s="2608"/>
      <c r="G32" s="2608"/>
      <c r="H32" s="2608"/>
      <c r="I32" s="2608"/>
      <c r="J32" s="2608"/>
    </row>
    <row r="33" spans="1:10" ht="38" customHeight="1">
      <c r="A33" s="2549"/>
      <c r="B33" s="2608"/>
      <c r="C33" s="2608"/>
      <c r="D33" s="2608"/>
      <c r="E33" s="2608"/>
      <c r="F33" s="2608"/>
      <c r="G33" s="2608"/>
      <c r="H33" s="2608"/>
      <c r="I33" s="2608"/>
      <c r="J33" s="2608"/>
    </row>
    <row r="34" spans="1:10" ht="15" hidden="1" customHeight="1">
      <c r="A34" s="2550"/>
      <c r="B34" s="2608"/>
      <c r="C34" s="2608"/>
      <c r="D34" s="2608"/>
      <c r="E34" s="2608"/>
      <c r="F34" s="2608"/>
      <c r="G34" s="2608"/>
      <c r="H34" s="2608"/>
      <c r="I34" s="2608"/>
      <c r="J34" s="2608"/>
    </row>
    <row r="35" spans="1:10" ht="18" customHeight="1">
      <c r="A35" s="2610">
        <v>3</v>
      </c>
      <c r="B35" s="2609" t="s">
        <v>1477</v>
      </c>
      <c r="C35" s="2609"/>
      <c r="D35" s="2609"/>
      <c r="E35" s="2609"/>
      <c r="F35" s="2609"/>
      <c r="G35" s="2609"/>
      <c r="H35" s="2609"/>
      <c r="I35" s="2609"/>
      <c r="J35" s="2609"/>
    </row>
    <row r="36" spans="1:10" ht="14" customHeight="1">
      <c r="A36" s="2610"/>
      <c r="B36" s="2609"/>
      <c r="C36" s="2609"/>
      <c r="D36" s="2609"/>
      <c r="E36" s="2609"/>
      <c r="F36" s="2609"/>
      <c r="G36" s="2609"/>
      <c r="H36" s="2609"/>
      <c r="I36" s="2609"/>
      <c r="J36" s="2609"/>
    </row>
    <row r="37" spans="1:10" ht="18" customHeight="1">
      <c r="A37" s="2586">
        <v>4</v>
      </c>
      <c r="B37" s="2597" t="s">
        <v>1115</v>
      </c>
      <c r="C37" s="2597"/>
      <c r="D37" s="2597"/>
      <c r="E37" s="2597"/>
      <c r="F37" s="2597"/>
      <c r="G37" s="2597"/>
      <c r="H37" s="2597"/>
      <c r="I37" s="2597"/>
      <c r="J37" s="2597"/>
    </row>
    <row r="38" spans="1:10" ht="18" customHeight="1">
      <c r="A38" s="2586"/>
      <c r="B38" s="2597"/>
      <c r="C38" s="2597"/>
      <c r="D38" s="2597"/>
      <c r="E38" s="2597"/>
      <c r="F38" s="2597"/>
      <c r="G38" s="2597"/>
      <c r="H38" s="2597"/>
      <c r="I38" s="2597"/>
      <c r="J38" s="2597"/>
    </row>
    <row r="39" spans="1:10" ht="1" customHeight="1">
      <c r="A39" s="2586"/>
      <c r="B39" s="2597"/>
      <c r="C39" s="2597"/>
      <c r="D39" s="2597"/>
      <c r="E39" s="2597"/>
      <c r="F39" s="2597"/>
      <c r="G39" s="2597"/>
      <c r="H39" s="2597"/>
      <c r="I39" s="2597"/>
      <c r="J39" s="2597"/>
    </row>
    <row r="40" spans="1:10" ht="18" customHeight="1">
      <c r="A40" s="2586">
        <v>5</v>
      </c>
      <c r="B40" s="2596" t="s">
        <v>1048</v>
      </c>
      <c r="C40" s="2596"/>
      <c r="D40" s="2596"/>
      <c r="E40" s="2596"/>
      <c r="F40" s="2596"/>
      <c r="G40" s="2596"/>
      <c r="H40" s="2596"/>
      <c r="I40" s="2596"/>
      <c r="J40" s="2596"/>
    </row>
    <row r="41" spans="1:10" ht="68" customHeight="1">
      <c r="A41" s="2586"/>
      <c r="B41" s="2596"/>
      <c r="C41" s="2596"/>
      <c r="D41" s="2596"/>
      <c r="E41" s="2596"/>
      <c r="F41" s="2596"/>
      <c r="G41" s="2596"/>
      <c r="H41" s="2596"/>
      <c r="I41" s="2596"/>
      <c r="J41" s="2596"/>
    </row>
    <row r="42" spans="1:10" ht="6" customHeight="1">
      <c r="A42" s="2607">
        <v>7</v>
      </c>
      <c r="B42" s="2598" t="s">
        <v>1325</v>
      </c>
      <c r="C42" s="2599"/>
      <c r="D42" s="2599"/>
      <c r="E42" s="2599"/>
      <c r="F42" s="2599"/>
      <c r="G42" s="2599"/>
      <c r="H42" s="2599"/>
      <c r="I42" s="2599"/>
      <c r="J42" s="2600"/>
    </row>
    <row r="43" spans="1:10" ht="18" customHeight="1">
      <c r="A43" s="2607"/>
      <c r="B43" s="2601"/>
      <c r="C43" s="2602"/>
      <c r="D43" s="2602"/>
      <c r="E43" s="2602"/>
      <c r="F43" s="2602"/>
      <c r="G43" s="2602"/>
      <c r="H43" s="2602"/>
      <c r="I43" s="2602"/>
      <c r="J43" s="2603"/>
    </row>
    <row r="44" spans="1:10" ht="18" customHeight="1">
      <c r="A44" s="2607"/>
      <c r="B44" s="2601"/>
      <c r="C44" s="2602"/>
      <c r="D44" s="2602"/>
      <c r="E44" s="2602"/>
      <c r="F44" s="2602"/>
      <c r="G44" s="2602"/>
      <c r="H44" s="2602"/>
      <c r="I44" s="2602"/>
      <c r="J44" s="2603"/>
    </row>
    <row r="45" spans="1:10" ht="18" customHeight="1">
      <c r="A45" s="2607"/>
      <c r="B45" s="2601"/>
      <c r="C45" s="2602"/>
      <c r="D45" s="2602"/>
      <c r="E45" s="2602"/>
      <c r="F45" s="2602"/>
      <c r="G45" s="2602"/>
      <c r="H45" s="2602"/>
      <c r="I45" s="2602"/>
      <c r="J45" s="2603"/>
    </row>
    <row r="46" spans="1:10" ht="45" customHeight="1">
      <c r="A46" s="2607"/>
      <c r="B46" s="2604"/>
      <c r="C46" s="2605"/>
      <c r="D46" s="2605"/>
      <c r="E46" s="2605"/>
      <c r="F46" s="2605"/>
      <c r="G46" s="2605"/>
      <c r="H46" s="2605"/>
      <c r="I46" s="2605"/>
      <c r="J46" s="2606"/>
    </row>
    <row r="47" spans="1:10" ht="18" customHeight="1">
      <c r="A47" s="2607">
        <v>8</v>
      </c>
      <c r="B47" s="2611" t="s">
        <v>868</v>
      </c>
      <c r="C47" s="2611"/>
      <c r="D47" s="2611"/>
      <c r="E47" s="2611"/>
      <c r="F47" s="2611"/>
      <c r="G47" s="2611"/>
      <c r="H47" s="2611"/>
      <c r="I47" s="2611"/>
      <c r="J47" s="2611"/>
    </row>
    <row r="48" spans="1:10" ht="18" customHeight="1">
      <c r="A48" s="2607"/>
      <c r="B48" s="2611"/>
      <c r="C48" s="2611"/>
      <c r="D48" s="2611"/>
      <c r="E48" s="2611"/>
      <c r="F48" s="2611"/>
      <c r="G48" s="2611"/>
      <c r="H48" s="2611"/>
      <c r="I48" s="2611"/>
      <c r="J48" s="2611"/>
    </row>
    <row r="49" spans="1:10" ht="18" customHeight="1">
      <c r="A49" s="2591">
        <v>9</v>
      </c>
      <c r="B49" s="2590" t="s">
        <v>1478</v>
      </c>
      <c r="C49" s="2590"/>
      <c r="D49" s="2590"/>
      <c r="E49" s="2590"/>
      <c r="F49" s="2590"/>
      <c r="G49" s="2590"/>
      <c r="H49" s="2590"/>
      <c r="I49" s="2590"/>
      <c r="J49" s="2590"/>
    </row>
    <row r="50" spans="1:10" ht="101" customHeight="1">
      <c r="A50" s="2591"/>
      <c r="B50" s="2590"/>
      <c r="C50" s="2590"/>
      <c r="D50" s="2590"/>
      <c r="E50" s="2590"/>
      <c r="F50" s="2590"/>
      <c r="G50" s="2590"/>
      <c r="H50" s="2590"/>
      <c r="I50" s="2590"/>
      <c r="J50" s="2590"/>
    </row>
  </sheetData>
  <sheetProtection sheet="1" objects="1" scenarios="1"/>
  <mergeCells count="33">
    <mergeCell ref="A47:A48"/>
    <mergeCell ref="A11:J11"/>
    <mergeCell ref="A40:A41"/>
    <mergeCell ref="A12:J12"/>
    <mergeCell ref="B49:J50"/>
    <mergeCell ref="A49:A50"/>
    <mergeCell ref="B29:J29"/>
    <mergeCell ref="B26:J27"/>
    <mergeCell ref="B40:J41"/>
    <mergeCell ref="B37:J39"/>
    <mergeCell ref="B42:J46"/>
    <mergeCell ref="A42:A46"/>
    <mergeCell ref="B30:J34"/>
    <mergeCell ref="B35:J36"/>
    <mergeCell ref="A35:A36"/>
    <mergeCell ref="A37:A39"/>
    <mergeCell ref="B47:J48"/>
    <mergeCell ref="A26:A34"/>
    <mergeCell ref="B28:J28"/>
    <mergeCell ref="A13:J13"/>
    <mergeCell ref="A14:J14"/>
    <mergeCell ref="A1:XFD1"/>
    <mergeCell ref="B24:J25"/>
    <mergeCell ref="A24:A25"/>
    <mergeCell ref="A2:J2"/>
    <mergeCell ref="A3:J3"/>
    <mergeCell ref="A5:J5"/>
    <mergeCell ref="A9:J9"/>
    <mergeCell ref="A17:J17"/>
    <mergeCell ref="A19:J19"/>
    <mergeCell ref="A22:J22"/>
    <mergeCell ref="A23:J23"/>
    <mergeCell ref="A10:J10"/>
  </mergeCells>
  <phoneticPr fontId="55" type="noConversion"/>
  <pageMargins left="0.7" right="0.7" top="0.75" bottom="0.75" header="0.3" footer="0.3"/>
  <pageSetup paperSize="9" scale="51" orientation="portrait" horizontalDpi="0" verticalDpi="0"/>
  <rowBreaks count="1" manualBreakCount="1">
    <brk id="19"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6B02-35F1-2741-8572-8FBA4BF3BA17}">
  <sheetPr>
    <tabColor rgb="FFFFFF00"/>
  </sheetPr>
  <dimension ref="A1:G84"/>
  <sheetViews>
    <sheetView topLeftCell="A2" workbookViewId="0">
      <selection activeCell="A5" sqref="A5:G5"/>
    </sheetView>
  </sheetViews>
  <sheetFormatPr baseColWidth="10" defaultRowHeight="13"/>
  <sheetData>
    <row r="1" spans="1:7" ht="18">
      <c r="A1" s="2624" t="s">
        <v>1456</v>
      </c>
      <c r="B1" s="2624"/>
      <c r="C1" s="2624"/>
      <c r="D1" s="2624"/>
      <c r="E1" s="2624"/>
      <c r="F1" s="2624"/>
      <c r="G1" s="2624"/>
    </row>
    <row r="2" spans="1:7" ht="49" customHeight="1">
      <c r="A2" s="2628" t="s">
        <v>1491</v>
      </c>
      <c r="B2" s="2628"/>
      <c r="C2" s="2628"/>
      <c r="D2" s="2628"/>
      <c r="E2" s="2628"/>
      <c r="F2" s="2628"/>
      <c r="G2" s="2628"/>
    </row>
    <row r="3" spans="1:7" ht="16">
      <c r="A3" s="939"/>
      <c r="B3" s="939"/>
    </row>
    <row r="4" spans="1:7" ht="18">
      <c r="A4" s="2630" t="s">
        <v>1422</v>
      </c>
      <c r="B4" s="2630"/>
      <c r="C4" s="2630"/>
      <c r="D4" s="2630"/>
      <c r="E4" s="2630"/>
      <c r="F4" s="2630"/>
      <c r="G4" s="2630"/>
    </row>
    <row r="5" spans="1:7" ht="16">
      <c r="A5" s="2629" t="s">
        <v>1423</v>
      </c>
      <c r="B5" s="2629"/>
      <c r="C5" s="2629"/>
      <c r="D5" s="2629"/>
      <c r="E5" s="2629"/>
      <c r="F5" s="2629"/>
      <c r="G5" s="2629"/>
    </row>
    <row r="6" spans="1:7" ht="16">
      <c r="A6" s="2629" t="s">
        <v>1424</v>
      </c>
      <c r="B6" s="2629"/>
      <c r="C6" s="2629"/>
      <c r="D6" s="2629"/>
      <c r="E6" s="2629"/>
      <c r="F6" s="2629"/>
      <c r="G6" s="2629"/>
    </row>
    <row r="7" spans="1:7" ht="31" customHeight="1">
      <c r="A7" s="2569" t="s">
        <v>1468</v>
      </c>
      <c r="B7" s="2569"/>
      <c r="C7" s="2569"/>
      <c r="D7" s="2569"/>
      <c r="E7" s="2569"/>
      <c r="F7" s="2569"/>
      <c r="G7" s="2569"/>
    </row>
    <row r="8" spans="1:7" ht="34" customHeight="1">
      <c r="A8" s="2569" t="s">
        <v>1425</v>
      </c>
      <c r="B8" s="2569"/>
      <c r="C8" s="2569"/>
      <c r="D8" s="2569"/>
      <c r="E8" s="2569"/>
      <c r="F8" s="2569"/>
      <c r="G8" s="2569"/>
    </row>
    <row r="9" spans="1:7" ht="16">
      <c r="A9" s="2629" t="s">
        <v>1426</v>
      </c>
      <c r="B9" s="2629"/>
      <c r="C9" s="2629"/>
      <c r="D9" s="2629"/>
      <c r="E9" s="2629"/>
      <c r="F9" s="2629"/>
      <c r="G9" s="2629"/>
    </row>
    <row r="10" spans="1:7" ht="16">
      <c r="A10" s="2629" t="s">
        <v>1427</v>
      </c>
      <c r="B10" s="2629"/>
      <c r="C10" s="2629"/>
      <c r="D10" s="2629"/>
      <c r="E10" s="2629"/>
      <c r="F10" s="2629"/>
      <c r="G10" s="2629"/>
    </row>
    <row r="11" spans="1:7" ht="16">
      <c r="A11" s="2629" t="s">
        <v>1428</v>
      </c>
      <c r="B11" s="2629"/>
      <c r="C11" s="2629"/>
      <c r="D11" s="2629"/>
      <c r="E11" s="2629"/>
      <c r="F11" s="2629"/>
      <c r="G11" s="2629"/>
    </row>
    <row r="12" spans="1:7" ht="16">
      <c r="A12" s="939"/>
      <c r="B12" s="939"/>
    </row>
    <row r="13" spans="1:7" ht="18">
      <c r="A13" s="2625" t="s">
        <v>1429</v>
      </c>
      <c r="B13" s="2625"/>
      <c r="C13" s="2625"/>
      <c r="D13" s="2625"/>
      <c r="E13" s="2625"/>
      <c r="F13" s="2625"/>
      <c r="G13" s="2625"/>
    </row>
    <row r="14" spans="1:7" ht="52" customHeight="1">
      <c r="A14" s="2626" t="str">
        <f>"Hvis skolen har heltids-SFO, børnehave og vuggestue skal børnetallene herfor oplyses i hhv. G7, G8 og G9. Gør man ikke det beregnes budgettallene for "&amp;budgetår+1&amp;" ikke."</f>
        <v>Hvis skolen har heltids-SFO, børnehave og vuggestue skal børnetallene herfor oplyses i hhv. G7, G8 og G9. Gør man ikke det beregnes budgettallene for 2025 ikke.</v>
      </c>
      <c r="B14" s="2626"/>
      <c r="C14" s="2626"/>
      <c r="D14" s="2626"/>
      <c r="E14" s="2626"/>
      <c r="F14" s="2626"/>
      <c r="G14" s="2626"/>
    </row>
    <row r="15" spans="1:7" ht="56" customHeight="1">
      <c r="A15" s="2626" t="str">
        <f>"Tast regnskabstal for "&amp;budgetår-2&amp;" og forventede tal for "&amp;budgetår-1&amp;". Tallene bruges til at sammenligne, og se til om budgettet giver mening i forhold til elevtal, indtægter og udgifter."</f>
        <v>Tast regnskabstal for 2022 og forventede tal for 2023. Tallene bruges til at sammenligne, og se til om budgettet giver mening i forhold til elevtal, indtægter og udgifter.</v>
      </c>
      <c r="B15" s="2626"/>
      <c r="C15" s="2626"/>
      <c r="D15" s="2626"/>
      <c r="E15" s="2626"/>
      <c r="F15" s="2626"/>
      <c r="G15" s="2626"/>
    </row>
    <row r="16" spans="1:7" ht="16">
      <c r="A16" s="939"/>
      <c r="B16" s="939"/>
    </row>
    <row r="17" spans="1:7" ht="18">
      <c r="A17" s="2399" t="s">
        <v>1430</v>
      </c>
      <c r="B17" s="2400"/>
      <c r="C17" s="2401"/>
      <c r="D17" s="2401"/>
      <c r="E17" s="2401"/>
      <c r="F17" s="2401"/>
      <c r="G17" s="2401"/>
    </row>
    <row r="18" spans="1:7" ht="85" customHeight="1">
      <c r="A18" s="2627" t="s">
        <v>1492</v>
      </c>
      <c r="B18" s="2627"/>
      <c r="C18" s="2627"/>
      <c r="D18" s="2627"/>
      <c r="E18" s="2627"/>
      <c r="F18" s="2627"/>
      <c r="G18" s="2627"/>
    </row>
    <row r="19" spans="1:7" ht="16">
      <c r="A19" s="939"/>
      <c r="B19" s="939"/>
    </row>
    <row r="20" spans="1:7" ht="18">
      <c r="A20" s="2621" t="s">
        <v>1431</v>
      </c>
      <c r="B20" s="2621"/>
      <c r="C20" s="2621"/>
      <c r="D20" s="2621"/>
      <c r="E20" s="2621"/>
      <c r="F20" s="2621"/>
      <c r="G20" s="2621"/>
    </row>
    <row r="21" spans="1:7" ht="42" customHeight="1">
      <c r="A21" s="2619" t="str">
        <f>"Ansættelsesmåneder. Check de rette antal mdr. hver enkelt medarbejder er ansat i hhv. "&amp;budgetår&amp;" række 8 og "&amp;budgetår+1&amp;" række 9"</f>
        <v>Ansættelsesmåneder. Check de rette antal mdr. hver enkelt medarbejder er ansat i hhv. 2024 række 8 og 2025 række 9</v>
      </c>
      <c r="B21" s="2619"/>
      <c r="C21" s="2619"/>
      <c r="D21" s="2619"/>
      <c r="E21" s="2619"/>
      <c r="F21" s="2619"/>
      <c r="G21" s="2619"/>
    </row>
    <row r="22" spans="1:7" ht="18" customHeight="1">
      <c r="A22" s="2620" t="s">
        <v>1432</v>
      </c>
      <c r="B22" s="2620"/>
      <c r="C22" s="2620"/>
      <c r="D22" s="2620"/>
      <c r="E22" s="2620"/>
      <c r="F22" s="2620"/>
      <c r="G22" s="2620"/>
    </row>
    <row r="23" spans="1:7" ht="56" customHeight="1">
      <c r="A23" s="2619" t="s">
        <v>1457</v>
      </c>
      <c r="B23" s="2619"/>
      <c r="C23" s="2619"/>
      <c r="D23" s="2619"/>
      <c r="E23" s="2619"/>
      <c r="F23" s="2619"/>
      <c r="G23" s="2619"/>
    </row>
    <row r="24" spans="1:7" ht="22" customHeight="1">
      <c r="A24" s="2620" t="str">
        <f>"Seniorbonusordning. Er den ansatte fyldt 62 år i "&amp;budgetår&amp;" svar Ja i række 13 og 14."</f>
        <v>Seniorbonusordning. Er den ansatte fyldt 62 år i 2024 svar Ja i række 13 og 14.</v>
      </c>
      <c r="B24" s="2620"/>
      <c r="C24" s="2620"/>
      <c r="D24" s="2620"/>
      <c r="E24" s="2620"/>
      <c r="F24" s="2620"/>
      <c r="G24" s="2620"/>
    </row>
    <row r="25" spans="1:7" ht="21" customHeight="1">
      <c r="A25" s="2620" t="str">
        <f>"Seniorbonusordning. Er den ansatte fyldt 62 år i "&amp;budgetår+1&amp;" svar Ja i række 14."</f>
        <v>Seniorbonusordning. Er den ansatte fyldt 62 år i 2025 svar Ja i række 14.</v>
      </c>
      <c r="B25" s="2620"/>
      <c r="C25" s="2620"/>
      <c r="D25" s="2620"/>
      <c r="E25" s="2620"/>
      <c r="F25" s="2620"/>
      <c r="G25" s="2620"/>
    </row>
    <row r="26" spans="1:7" ht="40" customHeight="1">
      <c r="A26" s="2619" t="s">
        <v>1458</v>
      </c>
      <c r="B26" s="2619"/>
      <c r="C26" s="2619"/>
      <c r="D26" s="2619"/>
      <c r="E26" s="2619"/>
      <c r="F26" s="2619"/>
      <c r="G26" s="2619"/>
    </row>
    <row r="27" spans="1:7" ht="20" customHeight="1">
      <c r="A27" s="2620" t="s">
        <v>1433</v>
      </c>
      <c r="B27" s="2620"/>
      <c r="C27" s="2620"/>
      <c r="D27" s="2620"/>
      <c r="E27" s="2620"/>
      <c r="F27" s="2620"/>
      <c r="G27" s="2620"/>
    </row>
    <row r="28" spans="1:7" ht="105" customHeight="1">
      <c r="A28" s="2619" t="s">
        <v>1459</v>
      </c>
      <c r="B28" s="2619"/>
      <c r="C28" s="2619"/>
      <c r="D28" s="2619"/>
      <c r="E28" s="2619"/>
      <c r="F28" s="2619"/>
      <c r="G28" s="2619"/>
    </row>
    <row r="29" spans="1:7" ht="22" customHeight="1">
      <c r="A29" s="2402" t="s">
        <v>1460</v>
      </c>
      <c r="B29" s="2402"/>
      <c r="C29" s="2403"/>
      <c r="D29" s="2403"/>
      <c r="E29" s="2403"/>
      <c r="F29" s="2403"/>
      <c r="G29" s="2403"/>
    </row>
    <row r="30" spans="1:7" ht="40" customHeight="1">
      <c r="A30" s="2619" t="s">
        <v>1434</v>
      </c>
      <c r="B30" s="2619"/>
      <c r="C30" s="2619"/>
      <c r="D30" s="2619"/>
      <c r="E30" s="2619"/>
      <c r="F30" s="2619"/>
      <c r="G30" s="2619"/>
    </row>
    <row r="31" spans="1:7" ht="56" customHeight="1">
      <c r="A31" s="2619" t="s">
        <v>1461</v>
      </c>
      <c r="B31" s="2619"/>
      <c r="C31" s="2619"/>
      <c r="D31" s="2619"/>
      <c r="E31" s="2619"/>
      <c r="F31" s="2619"/>
      <c r="G31" s="2619"/>
    </row>
    <row r="32" spans="1:7" ht="57" customHeight="1">
      <c r="A32" s="2619" t="s">
        <v>1462</v>
      </c>
      <c r="B32" s="2619"/>
      <c r="C32" s="2619"/>
      <c r="D32" s="2619"/>
      <c r="E32" s="2619"/>
      <c r="F32" s="2619"/>
      <c r="G32" s="2619"/>
    </row>
    <row r="33" spans="1:7" ht="38" customHeight="1">
      <c r="A33" s="2619" t="s">
        <v>1463</v>
      </c>
      <c r="B33" s="2619"/>
      <c r="C33" s="2619"/>
      <c r="D33" s="2619"/>
      <c r="E33" s="2619"/>
      <c r="F33" s="2619"/>
      <c r="G33" s="2619"/>
    </row>
    <row r="34" spans="1:7" ht="39" customHeight="1">
      <c r="A34" s="2619" t="s">
        <v>1435</v>
      </c>
      <c r="B34" s="2619"/>
      <c r="C34" s="2619"/>
      <c r="D34" s="2619"/>
      <c r="E34" s="2619"/>
      <c r="F34" s="2619"/>
      <c r="G34" s="2619"/>
    </row>
    <row r="35" spans="1:7" ht="56" customHeight="1">
      <c r="A35" s="2619" t="s">
        <v>1436</v>
      </c>
      <c r="B35" s="2619"/>
      <c r="C35" s="2619"/>
      <c r="D35" s="2619"/>
      <c r="E35" s="2619"/>
      <c r="F35" s="2619"/>
      <c r="G35" s="2619"/>
    </row>
    <row r="36" spans="1:7" ht="83" customHeight="1">
      <c r="A36" s="2619" t="s">
        <v>1493</v>
      </c>
      <c r="B36" s="2619"/>
      <c r="C36" s="2619"/>
      <c r="D36" s="2619"/>
      <c r="E36" s="2619"/>
      <c r="F36" s="2619"/>
      <c r="G36" s="2619"/>
    </row>
    <row r="37" spans="1:7" ht="21" customHeight="1">
      <c r="A37" s="2620" t="s">
        <v>1437</v>
      </c>
      <c r="B37" s="2620"/>
      <c r="C37" s="2620"/>
      <c r="D37" s="2620"/>
      <c r="E37" s="2620"/>
      <c r="F37" s="2620"/>
      <c r="G37" s="2620"/>
    </row>
    <row r="38" spans="1:7" ht="38" customHeight="1">
      <c r="A38" s="2619" t="str">
        <f>"Ferietillæg udgør en stor løndel, og er vigtig at huske. I række 63 oplyses antal mdr. den ansatte har været ansat fra september "&amp;budgetår-1&amp;" til og med august "&amp;budgetår&amp;". "</f>
        <v xml:space="preserve">Ferietillæg udgør en stor løndel, og er vigtig at huske. I række 63 oplyses antal mdr. den ansatte har været ansat fra september 2023 til og med august 2024. </v>
      </c>
      <c r="B38" s="2619"/>
      <c r="C38" s="2619"/>
      <c r="D38" s="2619"/>
      <c r="E38" s="2619"/>
      <c r="F38" s="2619"/>
      <c r="G38" s="2619"/>
    </row>
    <row r="39" spans="1:7" ht="37" customHeight="1">
      <c r="A39" s="2619" t="s">
        <v>1438</v>
      </c>
      <c r="B39" s="2619"/>
      <c r="C39" s="2619"/>
      <c r="D39" s="2619"/>
      <c r="E39" s="2619"/>
      <c r="F39" s="2619"/>
      <c r="G39" s="2619"/>
    </row>
    <row r="40" spans="1:7" ht="18">
      <c r="A40" s="2621" t="s">
        <v>1441</v>
      </c>
      <c r="B40" s="2621"/>
      <c r="C40" s="2621"/>
      <c r="D40" s="2621"/>
      <c r="E40" s="2621"/>
      <c r="F40" s="2621"/>
      <c r="G40" s="2621"/>
    </row>
    <row r="41" spans="1:7" ht="38" customHeight="1">
      <c r="A41" s="2619" t="s">
        <v>1494</v>
      </c>
      <c r="B41" s="2619"/>
      <c r="C41" s="2619"/>
      <c r="D41" s="2619"/>
      <c r="E41" s="2619"/>
      <c r="F41" s="2619"/>
      <c r="G41" s="2619"/>
    </row>
    <row r="42" spans="1:7" ht="18">
      <c r="A42" s="2621" t="s">
        <v>1439</v>
      </c>
      <c r="B42" s="2621"/>
      <c r="C42" s="2621"/>
      <c r="D42" s="2621"/>
      <c r="E42" s="2621"/>
      <c r="F42" s="2621"/>
      <c r="G42" s="2621"/>
    </row>
    <row r="43" spans="1:7" ht="37" customHeight="1">
      <c r="A43" s="2619" t="str">
        <f>"Refusioner for "&amp;budgetår&amp;" vedr. barsel, sygdom, fleksjob mm oplyses som årlige budgettal i række 74-81. Husk at beløbet oplyses som et negativt tal."</f>
        <v>Refusioner for 2024 vedr. barsel, sygdom, fleksjob mm oplyses som årlige budgettal i række 74-81. Husk at beløbet oplyses som et negativt tal.</v>
      </c>
      <c r="B43" s="2619"/>
      <c r="C43" s="2619"/>
      <c r="D43" s="2619"/>
      <c r="E43" s="2619"/>
      <c r="F43" s="2619"/>
      <c r="G43" s="2619"/>
    </row>
    <row r="44" spans="1:7" ht="36" customHeight="1">
      <c r="A44" s="2619" t="str">
        <f>"Refusioner for "&amp;budgetår+1&amp;" vedr. barsel, sygdom, fleksjob mm oplyses som årlige budgettal i række 83. Husk at beløbet oplyses som et negativt tal."</f>
        <v>Refusioner for 2025 vedr. barsel, sygdom, fleksjob mm oplyses som årlige budgettal i række 83. Husk at beløbet oplyses som et negativt tal.</v>
      </c>
      <c r="B44" s="2619"/>
      <c r="C44" s="2619"/>
      <c r="D44" s="2619"/>
      <c r="E44" s="2619"/>
      <c r="F44" s="2619"/>
      <c r="G44" s="2619"/>
    </row>
    <row r="45" spans="1:7" ht="18">
      <c r="A45" s="2404" t="s">
        <v>1440</v>
      </c>
      <c r="B45" s="2402"/>
      <c r="C45" s="2403"/>
      <c r="D45" s="2403"/>
      <c r="E45" s="2403"/>
      <c r="F45" s="2403"/>
      <c r="G45" s="2403"/>
    </row>
    <row r="46" spans="1:7" ht="36" customHeight="1">
      <c r="A46" s="2619" t="str">
        <f>"Oplys antal skyldige feriedage og særlige feriedage for hhv. "&amp;budgetår-1&amp;", "&amp;budgetår&amp;" og "&amp;budgetår+1&amp;" i række 91, 93 og 95."</f>
        <v>Oplys antal skyldige feriedage og særlige feriedage for hhv. 2023, 2024 og 2025 i række 91, 93 og 95.</v>
      </c>
      <c r="B46" s="2619"/>
      <c r="C46" s="2619"/>
      <c r="D46" s="2619"/>
      <c r="E46" s="2619"/>
      <c r="F46" s="2619"/>
      <c r="G46" s="2619"/>
    </row>
    <row r="47" spans="1:7" ht="16">
      <c r="A47" s="939"/>
      <c r="B47" s="939"/>
    </row>
    <row r="48" spans="1:7" ht="18">
      <c r="A48" s="2622" t="s">
        <v>1442</v>
      </c>
      <c r="B48" s="2622"/>
      <c r="C48" s="2622"/>
      <c r="D48" s="2622"/>
      <c r="E48" s="2622"/>
      <c r="F48" s="2622"/>
      <c r="G48" s="2622"/>
    </row>
    <row r="49" spans="1:7" ht="34" customHeight="1">
      <c r="A49" s="2623" t="s">
        <v>1443</v>
      </c>
      <c r="B49" s="2623"/>
      <c r="C49" s="2623"/>
      <c r="D49" s="2623"/>
      <c r="E49" s="2623"/>
      <c r="F49" s="2623"/>
      <c r="G49" s="2623"/>
    </row>
    <row r="50" spans="1:7" ht="19" customHeight="1">
      <c r="A50" s="2618" t="s">
        <v>1444</v>
      </c>
      <c r="B50" s="2618"/>
      <c r="C50" s="2618"/>
      <c r="D50" s="2618"/>
      <c r="E50" s="2618"/>
      <c r="F50" s="2618"/>
      <c r="G50" s="2618"/>
    </row>
    <row r="51" spans="1:7" ht="36" customHeight="1">
      <c r="A51" s="2613" t="str">
        <f>"Ansættelsesmåneder. I række 13 og 14 checkes at det er de korrekte antal måneder den ansatte er budgetteret med for hhv. "&amp;budgetår&amp;" og "&amp;budgetår+1&amp;"."</f>
        <v>Ansættelsesmåneder. I række 13 og 14 checkes at det er de korrekte antal måneder den ansatte er budgetteret med for hhv. 2024 og 2025.</v>
      </c>
      <c r="B51" s="2613"/>
      <c r="C51" s="2613"/>
      <c r="D51" s="2613"/>
      <c r="E51" s="2613"/>
      <c r="F51" s="2613"/>
      <c r="G51" s="2613"/>
    </row>
    <row r="52" spans="1:7" ht="37" customHeight="1">
      <c r="A52" s="2613" t="s">
        <v>1445</v>
      </c>
      <c r="B52" s="2613"/>
      <c r="C52" s="2613"/>
      <c r="D52" s="2613"/>
      <c r="E52" s="2613"/>
      <c r="F52" s="2613"/>
      <c r="G52" s="2613"/>
    </row>
    <row r="53" spans="1:7" ht="20" customHeight="1">
      <c r="A53" s="2613" t="s">
        <v>1464</v>
      </c>
      <c r="B53" s="2613"/>
      <c r="C53" s="2613"/>
      <c r="D53" s="2613"/>
      <c r="E53" s="2613"/>
      <c r="F53" s="2613"/>
      <c r="G53" s="2613"/>
    </row>
    <row r="54" spans="1:7" ht="38" customHeight="1">
      <c r="A54" s="2613" t="s">
        <v>1465</v>
      </c>
      <c r="B54" s="2613"/>
      <c r="C54" s="2613"/>
      <c r="D54" s="2613"/>
      <c r="E54" s="2613"/>
      <c r="F54" s="2613"/>
      <c r="G54" s="2613"/>
    </row>
    <row r="55" spans="1:7" ht="37" customHeight="1">
      <c r="A55" s="2613" t="str">
        <f>"Seniorbonus. Er den ansatte fyldt 62 år i "&amp;budgetår&amp;" og har den ansatte ret til seniorbonusordning svar Ja i række 13 og 14."</f>
        <v>Seniorbonus. Er den ansatte fyldt 62 år i 2024 og har den ansatte ret til seniorbonusordning svar Ja i række 13 og 14.</v>
      </c>
      <c r="B55" s="2613"/>
      <c r="C55" s="2613"/>
      <c r="D55" s="2613"/>
      <c r="E55" s="2613"/>
      <c r="F55" s="2613"/>
      <c r="G55" s="2613"/>
    </row>
    <row r="56" spans="1:7" ht="38" customHeight="1">
      <c r="A56" s="2613" t="str">
        <f>"Seniorbonus. Er den ansatte fyldt 62 år i "&amp;budgetår+1&amp;" og har den ansatte ret til seniorbonusordning svar Ja i række 14."</f>
        <v>Seniorbonus. Er den ansatte fyldt 62 år i 2025 og har den ansatte ret til seniorbonusordning svar Ja i række 14.</v>
      </c>
      <c r="B56" s="2613"/>
      <c r="C56" s="2613"/>
      <c r="D56" s="2613"/>
      <c r="E56" s="2613"/>
      <c r="F56" s="2613"/>
      <c r="G56" s="2613"/>
    </row>
    <row r="57" spans="1:7" ht="22" customHeight="1">
      <c r="A57" s="2613" t="s">
        <v>1446</v>
      </c>
      <c r="B57" s="2613"/>
      <c r="C57" s="2613"/>
      <c r="D57" s="2613"/>
      <c r="E57" s="2613"/>
      <c r="F57" s="2613"/>
      <c r="G57" s="2613"/>
    </row>
    <row r="58" spans="1:7" ht="36" customHeight="1">
      <c r="A58" s="2613" t="s">
        <v>1495</v>
      </c>
      <c r="B58" s="2613"/>
      <c r="C58" s="2613"/>
      <c r="D58" s="2613"/>
      <c r="E58" s="2613"/>
      <c r="F58" s="2613"/>
      <c r="G58" s="2613"/>
    </row>
    <row r="59" spans="1:7" ht="19" customHeight="1">
      <c r="A59" s="2618" t="s">
        <v>1447</v>
      </c>
      <c r="B59" s="2618"/>
      <c r="C59" s="2618"/>
      <c r="D59" s="2618"/>
      <c r="E59" s="2618"/>
      <c r="F59" s="2618"/>
      <c r="G59" s="2618"/>
    </row>
    <row r="60" spans="1:7" ht="34" customHeight="1">
      <c r="A60" s="2613" t="s">
        <v>1448</v>
      </c>
      <c r="B60" s="2613"/>
      <c r="C60" s="2613"/>
      <c r="D60" s="2613"/>
      <c r="E60" s="2613"/>
      <c r="F60" s="2613"/>
      <c r="G60" s="2613"/>
    </row>
    <row r="61" spans="1:7" ht="35" customHeight="1">
      <c r="A61" s="2613" t="s">
        <v>1449</v>
      </c>
      <c r="B61" s="2613"/>
      <c r="C61" s="2613"/>
      <c r="D61" s="2613"/>
      <c r="E61" s="2613"/>
      <c r="F61" s="2613"/>
      <c r="G61" s="2613"/>
    </row>
    <row r="62" spans="1:7" ht="19" customHeight="1">
      <c r="A62" s="2618" t="s">
        <v>1450</v>
      </c>
      <c r="B62" s="2618"/>
      <c r="C62" s="2618"/>
      <c r="D62" s="2618"/>
      <c r="E62" s="2618"/>
      <c r="F62" s="2618"/>
      <c r="G62" s="2618"/>
    </row>
    <row r="63" spans="1:7" ht="19" customHeight="1">
      <c r="A63" s="2613" t="s">
        <v>1451</v>
      </c>
      <c r="B63" s="2613"/>
      <c r="C63" s="2613"/>
      <c r="D63" s="2613"/>
      <c r="E63" s="2613"/>
      <c r="F63" s="2613"/>
      <c r="G63" s="2613"/>
    </row>
    <row r="64" spans="1:7" ht="35" customHeight="1">
      <c r="A64" s="2613" t="str">
        <f>"Ferietillæg udgør en stor løndel, og er vigtig at huske. I række 50 oplyses antal mdr. den ansatte har været ansat fra september "&amp;budgetår-1&amp;" til og med august "&amp;budgetår&amp;". "</f>
        <v xml:space="preserve">Ferietillæg udgør en stor løndel, og er vigtig at huske. I række 50 oplyses antal mdr. den ansatte har været ansat fra september 2023 til og med august 2024. </v>
      </c>
      <c r="B64" s="2613"/>
      <c r="C64" s="2613"/>
      <c r="D64" s="2613"/>
      <c r="E64" s="2613"/>
      <c r="F64" s="2613"/>
      <c r="G64" s="2613"/>
    </row>
    <row r="65" spans="1:7" ht="37" customHeight="1">
      <c r="A65" s="2613" t="s">
        <v>1438</v>
      </c>
      <c r="B65" s="2613"/>
      <c r="C65" s="2613"/>
      <c r="D65" s="2613"/>
      <c r="E65" s="2613"/>
      <c r="F65" s="2613"/>
      <c r="G65" s="2613"/>
    </row>
    <row r="66" spans="1:7" ht="18">
      <c r="A66" s="2405" t="s">
        <v>1439</v>
      </c>
      <c r="B66" s="2406"/>
      <c r="C66" s="2407"/>
      <c r="D66" s="2407"/>
      <c r="E66" s="2407"/>
      <c r="F66" s="2407"/>
      <c r="G66" s="2407"/>
    </row>
    <row r="67" spans="1:7" ht="36" customHeight="1">
      <c r="A67" s="2613" t="str">
        <f>"Refusioner for "&amp;budgetår&amp;" vedr. barsel, sygdom, fleksjob mm oplyses som årlige budgettal i række 62-68. Husk at beløbet oplyses som et negativt tal."</f>
        <v>Refusioner for 2024 vedr. barsel, sygdom, fleksjob mm oplyses som årlige budgettal i række 62-68. Husk at beløbet oplyses som et negativt tal.</v>
      </c>
      <c r="B67" s="2613"/>
      <c r="C67" s="2613"/>
      <c r="D67" s="2613"/>
      <c r="E67" s="2613"/>
      <c r="F67" s="2613"/>
      <c r="G67" s="2613"/>
    </row>
    <row r="68" spans="1:7" ht="34" customHeight="1">
      <c r="A68" s="2613" t="str">
        <f>"Refusioner for "&amp;budgetår+1&amp;" vedr. barsel, sygdom, fleksjob mm oplyses som årlige budgettal i række 70. Husk at beløbet oplyses som et negativt tal."</f>
        <v>Refusioner for 2025 vedr. barsel, sygdom, fleksjob mm oplyses som årlige budgettal i række 70. Husk at beløbet oplyses som et negativt tal.</v>
      </c>
      <c r="B68" s="2613"/>
      <c r="C68" s="2613"/>
      <c r="D68" s="2613"/>
      <c r="E68" s="2613"/>
      <c r="F68" s="2613"/>
      <c r="G68" s="2613"/>
    </row>
    <row r="69" spans="1:7" s="139" customFormat="1" ht="18">
      <c r="A69" s="2405" t="s">
        <v>1440</v>
      </c>
      <c r="B69" s="2405"/>
      <c r="C69" s="2405"/>
      <c r="D69" s="2405"/>
      <c r="E69" s="2405"/>
      <c r="F69" s="2405"/>
      <c r="G69" s="2405"/>
    </row>
    <row r="70" spans="1:7" ht="36" customHeight="1">
      <c r="A70" s="2613" t="str">
        <f>"Oplys antal skyldige feriedage og særlige feriedage for hhv. "&amp;budgetår-1&amp;", "&amp;budgetår&amp;" og "&amp;budgetår+1&amp;" i række 79, 81 og 83."</f>
        <v>Oplys antal skyldige feriedage og særlige feriedage for hhv. 2023, 2024 og 2025 i række 79, 81 og 83.</v>
      </c>
      <c r="B70" s="2613"/>
      <c r="C70" s="2613"/>
      <c r="D70" s="2613"/>
      <c r="E70" s="2613"/>
      <c r="F70" s="2613"/>
      <c r="G70" s="2613"/>
    </row>
    <row r="71" spans="1:7" ht="16">
      <c r="A71" s="939"/>
      <c r="B71" s="939"/>
    </row>
    <row r="72" spans="1:7" ht="18">
      <c r="A72" s="2408" t="s">
        <v>1467</v>
      </c>
      <c r="B72" s="2409"/>
      <c r="C72" s="2410"/>
      <c r="D72" s="2410"/>
      <c r="E72" s="2410"/>
      <c r="F72" s="2410"/>
      <c r="G72" s="2410"/>
    </row>
    <row r="73" spans="1:7" ht="36" customHeight="1">
      <c r="A73" s="2581" t="s">
        <v>1452</v>
      </c>
      <c r="B73" s="2581"/>
      <c r="C73" s="2581"/>
      <c r="D73" s="2581"/>
      <c r="E73" s="2581"/>
      <c r="F73" s="2581"/>
      <c r="G73" s="2581"/>
    </row>
    <row r="74" spans="1:7" ht="36" customHeight="1">
      <c r="A74" s="2397"/>
      <c r="B74" s="2397"/>
      <c r="C74" s="2397"/>
      <c r="D74" s="2397"/>
      <c r="E74" s="2397"/>
      <c r="F74" s="2397"/>
      <c r="G74" s="2397"/>
    </row>
    <row r="75" spans="1:7" ht="18">
      <c r="A75" s="2411" t="s">
        <v>1466</v>
      </c>
      <c r="B75" s="2412"/>
      <c r="C75" s="2413"/>
      <c r="D75" s="2413"/>
      <c r="E75" s="2413"/>
      <c r="F75" s="2413"/>
      <c r="G75" s="2413"/>
    </row>
    <row r="76" spans="1:7" ht="133" customHeight="1">
      <c r="A76" s="2614" t="s">
        <v>1496</v>
      </c>
      <c r="B76" s="2614"/>
      <c r="C76" s="2614"/>
      <c r="D76" s="2614"/>
      <c r="E76" s="2614"/>
      <c r="F76" s="2614"/>
      <c r="G76" s="2614"/>
    </row>
    <row r="77" spans="1:7" ht="16">
      <c r="A77" s="939"/>
      <c r="B77" s="939"/>
    </row>
    <row r="78" spans="1:7" ht="36" customHeight="1">
      <c r="A78" s="2615" t="s">
        <v>1453</v>
      </c>
      <c r="B78" s="2615"/>
      <c r="C78" s="2615"/>
      <c r="D78" s="2615"/>
      <c r="E78" s="2615"/>
      <c r="F78" s="2615"/>
      <c r="G78" s="2615"/>
    </row>
    <row r="79" spans="1:7" ht="83" customHeight="1">
      <c r="A79" s="2616" t="str">
        <f>"Driftstilskud fra "&amp;budgetår&amp;" til "&amp;budgetår+1&amp;" ændres automatisk med prisreguleringen lagt ind i satsbilaget. Sker der større ændring på udgiftssiden skal dette manuelt reguleres ved at taste en enten positiv eller negativ ændring fra "&amp;budgetår&amp;" til "&amp;budgetår+1&amp;". Eksempler kan være at der ikke er lejrskole hvert år, at der skal bygges, større engangsinvesteringer der ikke skal tælle begge år og lign."</f>
        <v>Driftstilskud fra 2024 til 2025 ændres automatisk med prisreguleringen lagt ind i satsbilaget. Sker der større ændring på udgiftssiden skal dette manuelt reguleres ved at taste en enten positiv eller negativ ændring fra 2024 til 2025. Eksempler kan være at der ikke er lejrskole hvert år, at der skal bygges, større engangsinvesteringer der ikke skal tælle begge år og lign.</v>
      </c>
      <c r="B79" s="2616"/>
      <c r="C79" s="2616"/>
      <c r="D79" s="2616"/>
      <c r="E79" s="2616"/>
      <c r="F79" s="2616"/>
      <c r="G79" s="2616"/>
    </row>
    <row r="80" spans="1:7" ht="16">
      <c r="A80" s="939"/>
      <c r="B80" s="939"/>
    </row>
    <row r="81" spans="1:7" ht="18">
      <c r="A81" s="2617" t="s">
        <v>1454</v>
      </c>
      <c r="B81" s="2617"/>
      <c r="C81" s="2617"/>
      <c r="D81" s="2617"/>
      <c r="E81" s="2617"/>
      <c r="F81" s="2617"/>
      <c r="G81" s="2617"/>
    </row>
    <row r="82" spans="1:7" ht="16">
      <c r="A82" s="939"/>
      <c r="B82" s="939"/>
    </row>
    <row r="83" spans="1:7" ht="25">
      <c r="A83" s="2414" t="s">
        <v>1455</v>
      </c>
      <c r="B83" s="136"/>
      <c r="C83" s="151"/>
      <c r="D83" s="151"/>
      <c r="E83" s="151"/>
      <c r="F83" s="151"/>
      <c r="G83" s="151"/>
    </row>
    <row r="84" spans="1:7" ht="70" customHeight="1">
      <c r="A84" s="2612" t="str">
        <f>"Når budgettet er lagt, og ovennævnte check er taget, gennemlæses budgettet i hovedskemaet. Læs her vandret vedr. "&amp;budgetår-2&amp;", "&amp;budgetår-1&amp;", "&amp;budgetår&amp;" og "&amp;budgetår+1&amp;" på alle indtægter og udgifter og check om der er større forskydninger der ikke kan forklares med ændring i elevtal, eller andre forklarelige reguleringer"</f>
        <v>Når budgettet er lagt, og ovennævnte check er taget, gennemlæses budgettet i hovedskemaet. Læs her vandret vedr. 2022, 2023, 2024 og 2025 på alle indtægter og udgifter og check om der er større forskydninger der ikke kan forklares med ændring i elevtal, eller andre forklarelige reguleringer</v>
      </c>
      <c r="B84" s="2612"/>
      <c r="C84" s="2612"/>
      <c r="D84" s="2612"/>
      <c r="E84" s="2612"/>
      <c r="F84" s="2612"/>
      <c r="G84" s="2612"/>
    </row>
  </sheetData>
  <sheetProtection sheet="1" objects="1" scenarios="1"/>
  <mergeCells count="66">
    <mergeCell ref="A15:G15"/>
    <mergeCell ref="A18:G18"/>
    <mergeCell ref="A20:G20"/>
    <mergeCell ref="A14:G14"/>
    <mergeCell ref="A2:G2"/>
    <mergeCell ref="A5:G5"/>
    <mergeCell ref="A6:G6"/>
    <mergeCell ref="A7:G7"/>
    <mergeCell ref="A8:G8"/>
    <mergeCell ref="A9:G9"/>
    <mergeCell ref="A10:G10"/>
    <mergeCell ref="A11:G11"/>
    <mergeCell ref="A4:G4"/>
    <mergeCell ref="A1:G1"/>
    <mergeCell ref="A13:G13"/>
    <mergeCell ref="A21:G21"/>
    <mergeCell ref="A22:G22"/>
    <mergeCell ref="A36:G36"/>
    <mergeCell ref="A24:G24"/>
    <mergeCell ref="A25:G25"/>
    <mergeCell ref="A26:G26"/>
    <mergeCell ref="A27:G27"/>
    <mergeCell ref="A28:G28"/>
    <mergeCell ref="A30:G30"/>
    <mergeCell ref="A31:G31"/>
    <mergeCell ref="A32:G32"/>
    <mergeCell ref="A33:G33"/>
    <mergeCell ref="A34:G34"/>
    <mergeCell ref="A35:G35"/>
    <mergeCell ref="A23:G23"/>
    <mergeCell ref="A50:G50"/>
    <mergeCell ref="A37:G37"/>
    <mergeCell ref="A38:G38"/>
    <mergeCell ref="A39:G39"/>
    <mergeCell ref="A40:G40"/>
    <mergeCell ref="A41:G41"/>
    <mergeCell ref="A42:G42"/>
    <mergeCell ref="A43:G43"/>
    <mergeCell ref="A44:G44"/>
    <mergeCell ref="A46:G46"/>
    <mergeCell ref="A48:G48"/>
    <mergeCell ref="A49:G49"/>
    <mergeCell ref="A62:G62"/>
    <mergeCell ref="A51:G51"/>
    <mergeCell ref="A52:G52"/>
    <mergeCell ref="A53:G53"/>
    <mergeCell ref="A54:G54"/>
    <mergeCell ref="A55:G55"/>
    <mergeCell ref="A56:G56"/>
    <mergeCell ref="A57:G57"/>
    <mergeCell ref="A58:G58"/>
    <mergeCell ref="A59:G59"/>
    <mergeCell ref="A60:G60"/>
    <mergeCell ref="A61:G61"/>
    <mergeCell ref="A84:G84"/>
    <mergeCell ref="A63:G63"/>
    <mergeCell ref="A64:G64"/>
    <mergeCell ref="A65:G65"/>
    <mergeCell ref="A67:G67"/>
    <mergeCell ref="A68:G68"/>
    <mergeCell ref="A70:G70"/>
    <mergeCell ref="A73:G73"/>
    <mergeCell ref="A76:G76"/>
    <mergeCell ref="A78:G78"/>
    <mergeCell ref="A79:G79"/>
    <mergeCell ref="A81:G8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K59"/>
  <sheetViews>
    <sheetView tabSelected="1" topLeftCell="A3" zoomScale="225" workbookViewId="0">
      <selection activeCell="B11" sqref="B11"/>
    </sheetView>
  </sheetViews>
  <sheetFormatPr baseColWidth="10" defaultColWidth="11.33203125" defaultRowHeight="13"/>
  <cols>
    <col min="1" max="1" width="67.5" style="2" bestFit="1" customWidth="1"/>
    <col min="2" max="2" width="16.33203125" customWidth="1"/>
    <col min="3" max="3" width="16.6640625" customWidth="1"/>
    <col min="4" max="4" width="17.6640625" bestFit="1" customWidth="1"/>
    <col min="5" max="5" width="24.6640625" customWidth="1"/>
    <col min="6" max="6" width="13.1640625" customWidth="1"/>
    <col min="7" max="7" width="12.6640625" customWidth="1"/>
    <col min="8" max="9" width="10.83203125" customWidth="1"/>
  </cols>
  <sheetData>
    <row r="1" spans="1:7" ht="16">
      <c r="A1" s="347" t="s">
        <v>577</v>
      </c>
      <c r="B1" s="348"/>
    </row>
    <row r="2" spans="1:7">
      <c r="A2"/>
      <c r="B2" s="1398">
        <f>1.114336+1.49%</f>
        <v>1.1292359999999999</v>
      </c>
      <c r="C2" s="369" t="s">
        <v>722</v>
      </c>
      <c r="F2" s="349"/>
    </row>
    <row r="3" spans="1:7" ht="29" thickBot="1">
      <c r="A3" s="348"/>
      <c r="B3" s="353" t="str">
        <f>"i budgetåret: "&amp;budgetår</f>
        <v>i budgetåret: 2024</v>
      </c>
      <c r="C3" s="353" t="str">
        <f>"i året før budgetåret: "&amp;budgetår-1</f>
        <v>i året før budgetåret: 2023</v>
      </c>
      <c r="D3" s="368" t="s">
        <v>346</v>
      </c>
      <c r="F3" s="349"/>
    </row>
    <row r="4" spans="1:7" ht="14">
      <c r="A4" s="2237" t="str">
        <f>"Til Feriefridages udbetaling "&amp;budgetår&amp;" - Optjent "&amp;budgetår-2&amp;""</f>
        <v>Til Feriefridages udbetaling 2024 - Optjent 2022</v>
      </c>
      <c r="B4" s="2238"/>
      <c r="C4" s="2250"/>
      <c r="D4" s="368"/>
      <c r="F4" s="349"/>
    </row>
    <row r="5" spans="1:7" ht="14">
      <c r="A5" s="2239" t="str">
        <f>"Reguleringsprocent 1. januar "&amp;budgetår-2&amp;""</f>
        <v>Reguleringsprocent 1. januar 2022</v>
      </c>
      <c r="B5" s="2240">
        <v>1.114336</v>
      </c>
      <c r="C5" s="2250"/>
      <c r="D5" s="368"/>
      <c r="F5" s="349"/>
    </row>
    <row r="6" spans="1:7" ht="14">
      <c r="A6" s="2239" t="str">
        <f>"Reguleringsprocent 1. april "&amp;Forside!B6-2&amp;""</f>
        <v>Reguleringsprocent 1. april 2022</v>
      </c>
      <c r="B6" s="2240">
        <v>1.134104</v>
      </c>
      <c r="C6" s="2250"/>
      <c r="D6" s="368"/>
      <c r="F6" s="349"/>
    </row>
    <row r="7" spans="1:7" ht="14">
      <c r="A7" s="2239" t="str">
        <f>"Reguleringsprocent 1. oktober "&amp;budgetår-2&amp;""</f>
        <v>Reguleringsprocent 1. oktober 2022</v>
      </c>
      <c r="B7" s="2240">
        <v>1.1374109999999999</v>
      </c>
      <c r="C7" s="2250"/>
      <c r="D7" s="368"/>
      <c r="F7" s="349"/>
    </row>
    <row r="8" spans="1:7" ht="15" thickBot="1">
      <c r="A8" s="2241" t="str">
        <f>"Gennemsnitlig reguleringsprocent "&amp;budgetår-2&amp;""</f>
        <v>Gennemsnitlig reguleringsprocent 2022</v>
      </c>
      <c r="B8" s="2242">
        <f>((B5*3)+(B6*6)+(B7*3))/12</f>
        <v>1.1299887500000001</v>
      </c>
      <c r="C8" s="2251"/>
      <c r="D8" s="368"/>
      <c r="F8" s="349"/>
    </row>
    <row r="9" spans="1:7" ht="12" customHeight="1">
      <c r="A9" s="2243" t="str">
        <f>"Procentregulering 1. oktober "&amp;budgetår-1&amp;""</f>
        <v>Procentregulering 1. oktober 2023</v>
      </c>
      <c r="B9" s="2244">
        <v>1.159197</v>
      </c>
      <c r="C9" s="2252"/>
      <c r="D9" s="927" t="s">
        <v>698</v>
      </c>
      <c r="F9" s="2"/>
      <c r="G9" s="349"/>
    </row>
    <row r="10" spans="1:7" ht="12" customHeight="1">
      <c r="A10" s="2245" t="str">
        <f>"Anslået procentregulering pr. 1. april "&amp;budgetår&amp;" + 6%"</f>
        <v>Anslået procentregulering pr. 1. april 2024 + 6%</v>
      </c>
      <c r="B10" s="2246">
        <f>B9+(B9*6%)</f>
        <v>1.2287488200000001</v>
      </c>
      <c r="C10" s="2253"/>
      <c r="D10" s="927"/>
      <c r="F10" s="2"/>
      <c r="G10" s="349"/>
    </row>
    <row r="11" spans="1:7" ht="12" customHeight="1">
      <c r="A11" s="2245" t="str">
        <f>"Procentregulering pr.1. oktober "&amp;budgetår&amp;""</f>
        <v>Procentregulering pr.1. oktober 2024</v>
      </c>
      <c r="B11" s="2246">
        <v>0</v>
      </c>
      <c r="C11" s="2253"/>
      <c r="D11" s="927"/>
      <c r="F11" s="2"/>
      <c r="G11" s="349"/>
    </row>
    <row r="12" spans="1:7" ht="14" thickBot="1">
      <c r="A12" s="2247" t="str">
        <f>"Beregnet procentregulering for budgetåret "&amp;budgetår&amp;""</f>
        <v>Beregnet procentregulering for budgetåret 2024</v>
      </c>
      <c r="B12" s="2248">
        <f>(((Prc*3)+(B10*9))/12)</f>
        <v>1.2113608650000001</v>
      </c>
      <c r="C12" s="2254"/>
      <c r="D12" s="927" t="s">
        <v>697</v>
      </c>
      <c r="G12" s="349"/>
    </row>
    <row r="13" spans="1:7" ht="14">
      <c r="A13" s="1399" t="s">
        <v>578</v>
      </c>
      <c r="B13" s="1400">
        <v>297</v>
      </c>
      <c r="C13" s="1401">
        <v>284</v>
      </c>
      <c r="D13" s="926" t="s">
        <v>699</v>
      </c>
      <c r="G13" s="349"/>
    </row>
    <row r="14" spans="1:7" ht="14">
      <c r="A14" s="661" t="s">
        <v>831</v>
      </c>
      <c r="B14" s="439">
        <f>1.42+0.71</f>
        <v>2.13</v>
      </c>
      <c r="C14" s="363">
        <v>2.0099999999999998</v>
      </c>
      <c r="D14" s="926"/>
      <c r="E14" s="369"/>
      <c r="F14" s="369"/>
      <c r="G14" s="349"/>
    </row>
    <row r="15" spans="1:7" ht="14">
      <c r="A15" s="661" t="s">
        <v>602</v>
      </c>
      <c r="B15" s="439">
        <v>108.35</v>
      </c>
      <c r="C15" s="363">
        <v>108.35</v>
      </c>
      <c r="D15" s="926" t="s">
        <v>597</v>
      </c>
      <c r="E15" s="369"/>
      <c r="F15" s="369"/>
      <c r="G15" s="349"/>
    </row>
    <row r="16" spans="1:7" ht="14">
      <c r="A16" s="661" t="s">
        <v>603</v>
      </c>
      <c r="B16" s="439">
        <v>130</v>
      </c>
      <c r="C16" s="363">
        <v>130</v>
      </c>
      <c r="D16" s="924" t="s">
        <v>598</v>
      </c>
      <c r="E16" s="369"/>
      <c r="F16" s="369"/>
      <c r="G16" s="349"/>
    </row>
    <row r="17" spans="1:5" ht="14">
      <c r="A17" s="661" t="s">
        <v>604</v>
      </c>
      <c r="B17" s="439">
        <v>10000</v>
      </c>
      <c r="C17" s="363">
        <v>10000</v>
      </c>
      <c r="D17" s="924" t="s">
        <v>700</v>
      </c>
    </row>
    <row r="18" spans="1:5" ht="14">
      <c r="A18" s="661" t="s">
        <v>605</v>
      </c>
      <c r="B18" s="1164">
        <v>7979</v>
      </c>
      <c r="C18" s="803">
        <v>7392</v>
      </c>
      <c r="D18" s="924" t="s">
        <v>701</v>
      </c>
    </row>
    <row r="19" spans="1:5" ht="14">
      <c r="A19" s="661" t="s">
        <v>606</v>
      </c>
      <c r="B19" s="1164">
        <v>3192</v>
      </c>
      <c r="C19" s="803">
        <v>2957</v>
      </c>
      <c r="D19" s="924" t="s">
        <v>702</v>
      </c>
    </row>
    <row r="20" spans="1:5" ht="14">
      <c r="A20" s="661" t="s">
        <v>607</v>
      </c>
      <c r="B20" s="1164">
        <v>41840</v>
      </c>
      <c r="C20" s="803">
        <v>38790</v>
      </c>
      <c r="D20" s="924" t="s">
        <v>703</v>
      </c>
    </row>
    <row r="21" spans="1:5" ht="14">
      <c r="A21" s="661" t="s">
        <v>608</v>
      </c>
      <c r="B21" s="1164">
        <v>55229</v>
      </c>
      <c r="C21" s="803">
        <v>51202</v>
      </c>
      <c r="D21" s="924" t="s">
        <v>704</v>
      </c>
    </row>
    <row r="22" spans="1:5" ht="14">
      <c r="A22" s="661" t="s">
        <v>609</v>
      </c>
      <c r="B22" s="1164">
        <v>54124</v>
      </c>
      <c r="C22" s="803">
        <v>50097</v>
      </c>
      <c r="D22" s="924" t="s">
        <v>705</v>
      </c>
    </row>
    <row r="23" spans="1:5">
      <c r="A23" s="919" t="s">
        <v>720</v>
      </c>
      <c r="B23" s="1336">
        <v>137755</v>
      </c>
      <c r="C23" s="804">
        <v>137755</v>
      </c>
      <c r="D23" s="925" t="s">
        <v>721</v>
      </c>
    </row>
    <row r="24" spans="1:5" ht="12" customHeight="1">
      <c r="A24" s="934" t="s">
        <v>1149</v>
      </c>
      <c r="B24" s="1166">
        <v>19</v>
      </c>
      <c r="C24" s="364">
        <v>19</v>
      </c>
      <c r="D24" s="926" t="s">
        <v>723</v>
      </c>
    </row>
    <row r="25" spans="1:5">
      <c r="A25" s="660" t="s">
        <v>579</v>
      </c>
      <c r="B25" s="1164">
        <v>2718</v>
      </c>
      <c r="C25" s="363">
        <v>2418</v>
      </c>
      <c r="D25" s="926" t="s">
        <v>708</v>
      </c>
    </row>
    <row r="26" spans="1:5" ht="15">
      <c r="A26" s="934" t="s">
        <v>1378</v>
      </c>
      <c r="B26" s="1164">
        <v>8707</v>
      </c>
      <c r="C26" s="363">
        <v>8340</v>
      </c>
      <c r="D26" s="926" t="s">
        <v>709</v>
      </c>
      <c r="E26" s="658"/>
    </row>
    <row r="27" spans="1:5" ht="15">
      <c r="A27" s="934" t="s">
        <v>1377</v>
      </c>
      <c r="B27" s="1164">
        <v>8707</v>
      </c>
      <c r="C27" s="363">
        <v>8340</v>
      </c>
      <c r="D27" s="926"/>
      <c r="E27" s="658"/>
    </row>
    <row r="28" spans="1:5">
      <c r="A28" s="2249" t="s">
        <v>1368</v>
      </c>
      <c r="B28" s="1164">
        <f>(3030+540+7+132+493+16+125)*(fremskrivning+1)</f>
        <v>4408.1449999999995</v>
      </c>
      <c r="C28" s="363">
        <v>4643</v>
      </c>
      <c r="D28" s="926"/>
      <c r="E28" s="2631"/>
    </row>
    <row r="29" spans="1:5">
      <c r="A29" s="2249" t="s">
        <v>913</v>
      </c>
      <c r="B29" s="1164">
        <f>((232+265)*12)*(fremskrivning+1)</f>
        <v>6053.4599999999991</v>
      </c>
      <c r="C29" s="363">
        <v>5688</v>
      </c>
      <c r="D29" s="926" t="s">
        <v>710</v>
      </c>
      <c r="E29" s="2632"/>
    </row>
    <row r="30" spans="1:5">
      <c r="A30" s="2249" t="s">
        <v>914</v>
      </c>
      <c r="B30" s="1164">
        <f>(337.5*4)*(fremskrivning+1)</f>
        <v>1370.2499999999998</v>
      </c>
      <c r="C30" s="363">
        <v>1350</v>
      </c>
      <c r="D30" s="926" t="s">
        <v>711</v>
      </c>
      <c r="E30" s="2631"/>
    </row>
    <row r="31" spans="1:5" ht="13" customHeight="1">
      <c r="A31" s="2249" t="s">
        <v>808</v>
      </c>
      <c r="B31" s="1275">
        <v>250</v>
      </c>
      <c r="C31" s="365">
        <v>240</v>
      </c>
      <c r="D31" s="926" t="s">
        <v>600</v>
      </c>
      <c r="E31" s="2632"/>
    </row>
    <row r="32" spans="1:5" ht="13" customHeight="1">
      <c r="A32" s="2249" t="s">
        <v>836</v>
      </c>
      <c r="B32" s="1275">
        <v>104</v>
      </c>
      <c r="C32" s="365">
        <v>100</v>
      </c>
      <c r="D32" s="2291">
        <v>3.6999999999999998E-2</v>
      </c>
      <c r="E32" s="2632"/>
    </row>
    <row r="33" spans="1:11" ht="13" customHeight="1">
      <c r="A33" s="2249" t="s">
        <v>809</v>
      </c>
      <c r="B33" s="1275">
        <v>5.2</v>
      </c>
      <c r="C33" s="365">
        <v>5</v>
      </c>
      <c r="D33" s="2291">
        <f>D32</f>
        <v>3.6999999999999998E-2</v>
      </c>
      <c r="E33" s="2632"/>
    </row>
    <row r="34" spans="1:11" ht="13" customHeight="1">
      <c r="A34" s="2249" t="s">
        <v>1051</v>
      </c>
      <c r="B34" s="1275">
        <v>8300</v>
      </c>
      <c r="C34" s="365">
        <v>8000</v>
      </c>
      <c r="D34" s="2291">
        <f>D32</f>
        <v>3.6999999999999998E-2</v>
      </c>
      <c r="E34" s="2632"/>
    </row>
    <row r="35" spans="1:11" ht="13" customHeight="1">
      <c r="A35" s="2249" t="s">
        <v>810</v>
      </c>
      <c r="B35" s="1275">
        <v>250</v>
      </c>
      <c r="C35" s="365">
        <v>240</v>
      </c>
      <c r="D35" s="2291">
        <f>D32</f>
        <v>3.6999999999999998E-2</v>
      </c>
      <c r="E35" s="2632"/>
    </row>
    <row r="36" spans="1:11">
      <c r="A36" s="934" t="s">
        <v>1396</v>
      </c>
      <c r="B36" s="1275">
        <v>40</v>
      </c>
      <c r="C36" s="365">
        <v>35</v>
      </c>
      <c r="D36" s="926" t="s">
        <v>599</v>
      </c>
      <c r="E36" s="2632"/>
    </row>
    <row r="37" spans="1:11">
      <c r="A37" s="919" t="s">
        <v>610</v>
      </c>
      <c r="B37" s="440">
        <v>7000</v>
      </c>
      <c r="C37" s="367">
        <v>7000</v>
      </c>
      <c r="D37" s="925" t="s">
        <v>713</v>
      </c>
      <c r="E37" s="2632"/>
      <c r="F37" s="346"/>
      <c r="G37" s="346"/>
      <c r="H37" s="346"/>
    </row>
    <row r="38" spans="1:11" ht="15">
      <c r="A38" s="919" t="s">
        <v>611</v>
      </c>
      <c r="B38" s="440">
        <v>12000</v>
      </c>
      <c r="C38" s="367">
        <v>12000</v>
      </c>
      <c r="D38" s="925" t="s">
        <v>714</v>
      </c>
      <c r="E38" s="659"/>
    </row>
    <row r="39" spans="1:11" ht="15">
      <c r="A39" s="919" t="s">
        <v>818</v>
      </c>
      <c r="B39" s="440">
        <v>18000</v>
      </c>
      <c r="C39" s="367">
        <v>18000</v>
      </c>
      <c r="D39" s="925" t="s">
        <v>715</v>
      </c>
      <c r="E39" s="659"/>
    </row>
    <row r="40" spans="1:11">
      <c r="A40" s="919" t="s">
        <v>612</v>
      </c>
      <c r="B40" s="440">
        <v>24000</v>
      </c>
      <c r="C40" s="367">
        <v>24000</v>
      </c>
      <c r="D40" s="925" t="s">
        <v>716</v>
      </c>
    </row>
    <row r="41" spans="1:11">
      <c r="A41" s="660" t="str">
        <f>"Faste udgifter i budgetåret "&amp;[0]!budgetår+1&amp;" fremskrives med %"</f>
        <v>Faste udgifter i budgetåret 2025 fremskrives med %</v>
      </c>
      <c r="B41" s="441">
        <v>1.4999999999999999E-2</v>
      </c>
      <c r="C41" s="366">
        <v>1.4999999999999999E-2</v>
      </c>
      <c r="D41" s="926" t="s">
        <v>712</v>
      </c>
      <c r="G41" s="346"/>
      <c r="H41" s="346"/>
      <c r="I41" s="346"/>
      <c r="J41" s="346"/>
      <c r="K41" s="346"/>
    </row>
    <row r="42" spans="1:11">
      <c r="A42" s="660" t="str">
        <f>"Lønudgifter i budgetåret "&amp;[0]!budgetår+1&amp;" fremskrives med %"</f>
        <v>Lønudgifter i budgetåret 2025 fremskrives med %</v>
      </c>
      <c r="B42" s="2395">
        <v>2.5000000000000001E-2</v>
      </c>
      <c r="C42" s="2396"/>
      <c r="D42" s="926"/>
      <c r="G42" s="346"/>
      <c r="H42" s="346"/>
      <c r="I42" s="346"/>
      <c r="J42" s="346"/>
      <c r="K42" s="346"/>
    </row>
    <row r="43" spans="1:11">
      <c r="A43" s="2249" t="s">
        <v>779</v>
      </c>
      <c r="B43" s="651">
        <v>0</v>
      </c>
      <c r="C43" s="380">
        <v>1.4999999999999999E-2</v>
      </c>
      <c r="D43" s="926" t="s">
        <v>780</v>
      </c>
      <c r="G43" s="346"/>
      <c r="H43" s="346"/>
      <c r="I43" s="346"/>
      <c r="J43" s="346"/>
      <c r="K43" s="346"/>
    </row>
    <row r="44" spans="1:11">
      <c r="A44" s="661"/>
      <c r="B44" s="805" t="str">
        <f>"skoleår "&amp;[0]!budgetår-0&amp;"/"&amp;[0]!budgetår+1</f>
        <v>skoleår 2024/2025</v>
      </c>
      <c r="C44" s="805" t="str">
        <f>"skoleår "&amp;[0]!budgetår-1&amp;"/"&amp;[0]!budgetår+0</f>
        <v>skoleår 2023/2024</v>
      </c>
      <c r="D44" s="351"/>
    </row>
    <row r="45" spans="1:11">
      <c r="A45" s="2249" t="s">
        <v>1419</v>
      </c>
      <c r="B45" s="1166">
        <v>193</v>
      </c>
      <c r="C45" s="364">
        <v>136</v>
      </c>
      <c r="D45" s="350" t="s">
        <v>706</v>
      </c>
    </row>
    <row r="46" spans="1:11" ht="14" thickBot="1">
      <c r="A46" s="2367" t="s">
        <v>1418</v>
      </c>
      <c r="B46" s="1165">
        <v>149</v>
      </c>
      <c r="C46" s="662">
        <v>145</v>
      </c>
      <c r="D46" s="350" t="s">
        <v>707</v>
      </c>
    </row>
    <row r="47" spans="1:11">
      <c r="A47" s="2633" t="s">
        <v>783</v>
      </c>
      <c r="B47" s="2634"/>
      <c r="C47" s="2635"/>
      <c r="D47" s="354"/>
    </row>
    <row r="48" spans="1:11">
      <c r="A48" s="920" t="s">
        <v>1081</v>
      </c>
      <c r="B48" s="1334">
        <v>131511</v>
      </c>
      <c r="C48" s="777">
        <v>123592</v>
      </c>
      <c r="D48" s="928"/>
    </row>
    <row r="49" spans="1:7">
      <c r="A49" s="920" t="s">
        <v>1080</v>
      </c>
      <c r="B49" s="1334">
        <v>118360</v>
      </c>
      <c r="C49" s="777">
        <v>111233</v>
      </c>
      <c r="D49" s="928"/>
    </row>
    <row r="50" spans="1:7">
      <c r="A50" s="920" t="s">
        <v>784</v>
      </c>
      <c r="B50" s="1334">
        <v>78907</v>
      </c>
      <c r="C50" s="777">
        <v>74155</v>
      </c>
      <c r="D50" s="928"/>
    </row>
    <row r="51" spans="1:7" ht="14" thickBot="1">
      <c r="A51" s="921" t="s">
        <v>785</v>
      </c>
      <c r="B51" s="1335">
        <v>43233</v>
      </c>
      <c r="C51" s="778">
        <v>43415</v>
      </c>
      <c r="D51" s="928"/>
      <c r="E51" s="869"/>
      <c r="F51" s="869"/>
      <c r="G51" s="869"/>
    </row>
    <row r="52" spans="1:7">
      <c r="D52" s="786"/>
    </row>
    <row r="53" spans="1:7">
      <c r="A53" s="917"/>
      <c r="D53" s="786"/>
    </row>
    <row r="54" spans="1:7">
      <c r="A54" s="354"/>
      <c r="B54" s="1273"/>
      <c r="D54" s="786"/>
    </row>
    <row r="55" spans="1:7">
      <c r="A55" s="354"/>
      <c r="B55" s="1273"/>
      <c r="D55" s="786"/>
    </row>
    <row r="56" spans="1:7">
      <c r="A56" s="354"/>
      <c r="B56" s="1273"/>
      <c r="D56" s="786"/>
    </row>
    <row r="57" spans="1:7">
      <c r="A57" s="354"/>
      <c r="B57" s="1273"/>
      <c r="D57" s="786"/>
    </row>
    <row r="58" spans="1:7">
      <c r="A58" s="354"/>
      <c r="B58" s="1273"/>
      <c r="D58" s="786"/>
    </row>
    <row r="59" spans="1:7">
      <c r="B59" s="1274"/>
    </row>
  </sheetData>
  <sheetProtection formatCells="0" formatColumns="0" formatRows="0"/>
  <mergeCells count="3">
    <mergeCell ref="E28:E29"/>
    <mergeCell ref="E30:E37"/>
    <mergeCell ref="A47:C47"/>
  </mergeCells>
  <phoneticPr fontId="55" type="noConversion"/>
  <printOptions horizontalCentered="1" verticalCentered="1"/>
  <pageMargins left="0.39629921259842515" right="0.47314960629921266" top="0.58629921259842532" bottom="0.44629921259842514" header="0.51" footer="0.51"/>
  <pageSetup paperSize="9" scale="75" orientation="portrait" horizontalDpi="4294967292" verticalDpi="4294967292"/>
  <headerFooter alignWithMargins="0">
    <oddFooter>&amp;LFriskolernes Kontor&amp;CKursusmateriale 2010&amp;R&amp;A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tabColor rgb="FF92D050"/>
    <pageSetUpPr fitToPage="1"/>
  </sheetPr>
  <dimension ref="B1:K46"/>
  <sheetViews>
    <sheetView showGridLines="0" zoomScale="140" zoomScaleNormal="100" workbookViewId="0">
      <selection activeCell="H12" sqref="H12"/>
    </sheetView>
  </sheetViews>
  <sheetFormatPr baseColWidth="10" defaultColWidth="11.33203125" defaultRowHeight="13"/>
  <cols>
    <col min="1" max="1" width="13.6640625" customWidth="1"/>
    <col min="2" max="2" width="6.83203125" customWidth="1"/>
    <col min="3" max="3" width="25.83203125" customWidth="1"/>
    <col min="4" max="4" width="13.6640625" customWidth="1"/>
    <col min="5" max="6" width="15.1640625" customWidth="1"/>
    <col min="7" max="7" width="13.6640625" customWidth="1"/>
    <col min="9" max="9" width="11.83203125" customWidth="1"/>
    <col min="10" max="10" width="6.5" customWidth="1"/>
  </cols>
  <sheetData>
    <row r="1" spans="2:11" ht="25.5" customHeight="1" thickBot="1">
      <c r="B1" s="303"/>
      <c r="C1" s="303"/>
      <c r="D1" s="303"/>
      <c r="E1" s="303"/>
      <c r="F1" s="303"/>
      <c r="G1" s="303"/>
      <c r="H1" s="303"/>
    </row>
    <row r="2" spans="2:11" ht="77" customHeight="1">
      <c r="B2" s="2663" t="s">
        <v>254</v>
      </c>
      <c r="C2" s="2663"/>
      <c r="D2" s="2663"/>
      <c r="E2" s="2663"/>
      <c r="F2" s="2663"/>
      <c r="G2" s="2663"/>
      <c r="H2" s="2663"/>
    </row>
    <row r="3" spans="2:11" ht="18" customHeight="1">
      <c r="B3" s="123"/>
      <c r="C3" s="124" t="s">
        <v>350</v>
      </c>
      <c r="D3" s="123"/>
      <c r="E3" s="123"/>
      <c r="F3" s="125" t="str">
        <f>budgetår-1&amp;"/"&amp;budgetår</f>
        <v>2023/2024</v>
      </c>
      <c r="G3" s="125" t="str">
        <f>budgetår&amp;"/"&amp;budgetår+1</f>
        <v>2024/2025</v>
      </c>
      <c r="H3" s="125" t="str">
        <f>budgetår+1&amp;"/"&amp;budgetår+2</f>
        <v>2025/2026</v>
      </c>
    </row>
    <row r="4" spans="2:11" ht="36" customHeight="1" thickBot="1"/>
    <row r="5" spans="2:11" ht="55.5" customHeight="1">
      <c r="B5" s="2664" t="s">
        <v>1072</v>
      </c>
      <c r="C5" s="2665"/>
      <c r="D5" s="2665"/>
      <c r="E5" s="2665"/>
      <c r="F5" s="2665"/>
      <c r="G5" s="2665"/>
      <c r="H5" s="2666"/>
      <c r="I5" s="369"/>
      <c r="J5" s="369"/>
    </row>
    <row r="6" spans="2:11" ht="46" thickBot="1">
      <c r="B6" s="2660">
        <v>2024</v>
      </c>
      <c r="C6" s="2661"/>
      <c r="D6" s="2661"/>
      <c r="E6" s="2661"/>
      <c r="F6" s="2661"/>
      <c r="G6" s="2661"/>
      <c r="H6" s="2662"/>
      <c r="I6" s="672"/>
      <c r="J6" s="672"/>
      <c r="K6" s="369">
        <f>B6</f>
        <v>2024</v>
      </c>
    </row>
    <row r="7" spans="2:11" s="361" customFormat="1" ht="19" thickBot="1">
      <c r="B7" s="2657" t="s">
        <v>782</v>
      </c>
      <c r="C7" s="2658"/>
      <c r="D7" s="2658"/>
      <c r="E7" s="2658"/>
      <c r="F7" s="2658"/>
      <c r="G7" s="2659"/>
      <c r="H7" s="671"/>
    </row>
    <row r="8" spans="2:11" s="361" customFormat="1" ht="18">
      <c r="B8" s="2667" t="str">
        <f>"Er skolen certificeret som profilskole i "&amp;budgetår-1&amp;"?"</f>
        <v>Er skolen certificeret som profilskole i 2023?</v>
      </c>
      <c r="C8" s="2668"/>
      <c r="D8" s="2668"/>
      <c r="E8" s="2668"/>
      <c r="F8" s="2668"/>
      <c r="G8" s="2669"/>
      <c r="H8" s="2655"/>
      <c r="I8" s="670" t="s">
        <v>788</v>
      </c>
      <c r="J8" s="670" t="s">
        <v>727</v>
      </c>
    </row>
    <row r="9" spans="2:11" ht="29" customHeight="1" thickBot="1">
      <c r="B9" s="2652" t="s">
        <v>789</v>
      </c>
      <c r="C9" s="2653"/>
      <c r="D9" s="2653"/>
      <c r="E9" s="2653"/>
      <c r="F9" s="2653"/>
      <c r="G9" s="2654"/>
      <c r="H9" s="2656"/>
      <c r="J9" s="369"/>
    </row>
    <row r="10" spans="2:11" s="361" customFormat="1" ht="18">
      <c r="B10" s="2667" t="str">
        <f>"Er skolen certificeret som profilskole i "&amp;budgetår&amp;"?"</f>
        <v>Er skolen certificeret som profilskole i 2024?</v>
      </c>
      <c r="C10" s="2668"/>
      <c r="D10" s="2668"/>
      <c r="E10" s="2668"/>
      <c r="F10" s="2668"/>
      <c r="G10" s="2669"/>
      <c r="H10" s="2655"/>
      <c r="I10" s="670" t="s">
        <v>788</v>
      </c>
      <c r="J10" s="670" t="s">
        <v>788</v>
      </c>
    </row>
    <row r="11" spans="2:11" ht="29" customHeight="1" thickBot="1">
      <c r="B11" s="2652" t="s">
        <v>789</v>
      </c>
      <c r="C11" s="2653"/>
      <c r="D11" s="2653"/>
      <c r="E11" s="2653"/>
      <c r="F11" s="2653"/>
      <c r="G11" s="2654"/>
      <c r="H11" s="2656"/>
      <c r="J11" s="369"/>
    </row>
    <row r="12" spans="2:11" ht="19" thickBot="1">
      <c r="B12" s="2657" t="s">
        <v>790</v>
      </c>
      <c r="C12" s="2658"/>
      <c r="D12" s="2658"/>
      <c r="E12" s="2658"/>
      <c r="F12" s="2658"/>
      <c r="G12" s="2659"/>
      <c r="H12" s="700"/>
    </row>
    <row r="15" spans="2:11" ht="14" thickBot="1"/>
    <row r="16" spans="2:11" ht="21" thickBot="1">
      <c r="C16" s="116" t="s">
        <v>17</v>
      </c>
      <c r="E16" s="362" t="s">
        <v>696</v>
      </c>
    </row>
    <row r="17" spans="2:8">
      <c r="B17" s="2640" t="s">
        <v>107</v>
      </c>
      <c r="C17" s="2641"/>
      <c r="D17" s="673" t="str">
        <f>budgetår-2&amp;"/"&amp;budgetår-1</f>
        <v>2022/2023</v>
      </c>
      <c r="E17" s="117" t="str">
        <f>budgetår-1&amp;"/"&amp;budgetår</f>
        <v>2023/2024</v>
      </c>
      <c r="F17" s="117" t="str">
        <f>budgetår-1&amp;"/"&amp;budgetår</f>
        <v>2023/2024</v>
      </c>
      <c r="G17" s="117" t="str">
        <f>budgetår&amp;"/"&amp;budgetår+1</f>
        <v>2024/2025</v>
      </c>
      <c r="H17" s="118" t="str">
        <f>budgetår+1&amp;"/"&amp;budgetår+2</f>
        <v>2025/2026</v>
      </c>
    </row>
    <row r="18" spans="2:8" ht="13" customHeight="1">
      <c r="B18" s="2642"/>
      <c r="C18" s="2643"/>
      <c r="D18" s="674" t="s">
        <v>108</v>
      </c>
      <c r="E18" s="119" t="s">
        <v>108</v>
      </c>
      <c r="F18" s="2341" t="s">
        <v>109</v>
      </c>
      <c r="G18" s="119" t="s">
        <v>108</v>
      </c>
      <c r="H18" s="120" t="s">
        <v>108</v>
      </c>
    </row>
    <row r="19" spans="2:8" ht="28">
      <c r="B19" s="2644"/>
      <c r="C19" s="2645"/>
      <c r="D19" s="675" t="str">
        <f>"sep.
"&amp;budgetår-2</f>
        <v>sep.
2022</v>
      </c>
      <c r="E19" s="121" t="str">
        <f>"sep.
"&amp;budgetår-1</f>
        <v>sep.
2023</v>
      </c>
      <c r="F19" s="2340" t="s">
        <v>110</v>
      </c>
      <c r="G19" s="121" t="str">
        <f>"sep.
"&amp;budgetår</f>
        <v>sep.
2024</v>
      </c>
      <c r="H19" s="122" t="str">
        <f>"sep.
"&amp;budgetår+1</f>
        <v>sep.
2025</v>
      </c>
    </row>
    <row r="20" spans="2:8" ht="16">
      <c r="B20" s="2650" t="s">
        <v>76</v>
      </c>
      <c r="C20" s="2651"/>
      <c r="D20" s="1337"/>
      <c r="E20" s="1167"/>
      <c r="F20" s="1167"/>
      <c r="G20" s="724"/>
      <c r="H20" s="725"/>
    </row>
    <row r="21" spans="2:8" ht="16">
      <c r="B21" s="2650" t="s">
        <v>49</v>
      </c>
      <c r="C21" s="2651"/>
      <c r="D21" s="663"/>
      <c r="E21" s="663"/>
      <c r="F21" s="663"/>
      <c r="G21" s="723">
        <f t="shared" ref="G21:G27" si="0">E20+F20</f>
        <v>0</v>
      </c>
      <c r="H21" s="727">
        <f t="shared" ref="H21:H27" si="1">G20</f>
        <v>0</v>
      </c>
    </row>
    <row r="22" spans="2:8" ht="16">
      <c r="B22" s="2650" t="s">
        <v>50</v>
      </c>
      <c r="C22" s="2651"/>
      <c r="D22" s="663"/>
      <c r="E22" s="663"/>
      <c r="F22" s="663"/>
      <c r="G22" s="723">
        <f t="shared" si="0"/>
        <v>0</v>
      </c>
      <c r="H22" s="727">
        <f t="shared" si="1"/>
        <v>0</v>
      </c>
    </row>
    <row r="23" spans="2:8" ht="16">
      <c r="B23" s="2650" t="s">
        <v>51</v>
      </c>
      <c r="C23" s="2651"/>
      <c r="D23" s="663"/>
      <c r="E23" s="663"/>
      <c r="F23" s="663"/>
      <c r="G23" s="723">
        <f t="shared" si="0"/>
        <v>0</v>
      </c>
      <c r="H23" s="727">
        <f t="shared" si="1"/>
        <v>0</v>
      </c>
    </row>
    <row r="24" spans="2:8" ht="16">
      <c r="B24" s="2650" t="s">
        <v>52</v>
      </c>
      <c r="C24" s="2651"/>
      <c r="D24" s="663"/>
      <c r="E24" s="663"/>
      <c r="F24" s="663"/>
      <c r="G24" s="723">
        <f t="shared" si="0"/>
        <v>0</v>
      </c>
      <c r="H24" s="727">
        <f t="shared" si="1"/>
        <v>0</v>
      </c>
    </row>
    <row r="25" spans="2:8" ht="16">
      <c r="B25" s="2650" t="s">
        <v>53</v>
      </c>
      <c r="C25" s="2651"/>
      <c r="D25" s="663"/>
      <c r="E25" s="663"/>
      <c r="F25" s="663"/>
      <c r="G25" s="723">
        <f t="shared" si="0"/>
        <v>0</v>
      </c>
      <c r="H25" s="727">
        <f t="shared" si="1"/>
        <v>0</v>
      </c>
    </row>
    <row r="26" spans="2:8" ht="16">
      <c r="B26" s="2650" t="s">
        <v>54</v>
      </c>
      <c r="C26" s="2651"/>
      <c r="D26" s="663"/>
      <c r="E26" s="663"/>
      <c r="F26" s="663"/>
      <c r="G26" s="723">
        <f t="shared" si="0"/>
        <v>0</v>
      </c>
      <c r="H26" s="727">
        <f t="shared" si="1"/>
        <v>0</v>
      </c>
    </row>
    <row r="27" spans="2:8" ht="16">
      <c r="B27" s="2650" t="s">
        <v>55</v>
      </c>
      <c r="C27" s="2651"/>
      <c r="D27" s="1168"/>
      <c r="E27" s="1168"/>
      <c r="F27" s="663"/>
      <c r="G27" s="723">
        <f t="shared" si="0"/>
        <v>0</v>
      </c>
      <c r="H27" s="727">
        <f t="shared" si="1"/>
        <v>0</v>
      </c>
    </row>
    <row r="28" spans="2:8" ht="16">
      <c r="B28" s="2650" t="s">
        <v>19</v>
      </c>
      <c r="C28" s="2651"/>
      <c r="D28" s="1168"/>
      <c r="E28" s="1168"/>
      <c r="F28" s="663"/>
      <c r="G28" s="723">
        <f>E27+F27</f>
        <v>0</v>
      </c>
      <c r="H28" s="729"/>
    </row>
    <row r="29" spans="2:8" ht="16">
      <c r="B29" s="2650" t="s">
        <v>8</v>
      </c>
      <c r="C29" s="2651"/>
      <c r="D29" s="1168"/>
      <c r="E29" s="1168"/>
      <c r="F29" s="663"/>
      <c r="G29" s="723">
        <f>E28+F28</f>
        <v>0</v>
      </c>
      <c r="H29" s="729"/>
    </row>
    <row r="30" spans="2:8" ht="16">
      <c r="B30" s="2650" t="s">
        <v>9</v>
      </c>
      <c r="C30" s="2651"/>
      <c r="D30" s="728"/>
      <c r="E30" s="663"/>
      <c r="F30" s="663"/>
      <c r="G30" s="663"/>
      <c r="H30" s="729"/>
    </row>
    <row r="31" spans="2:8" ht="16">
      <c r="B31" s="2646" t="s">
        <v>10</v>
      </c>
      <c r="C31" s="2647"/>
      <c r="D31" s="730">
        <f>SUM(D20:D30)</f>
        <v>0</v>
      </c>
      <c r="E31" s="723">
        <f>SUM(E20:E30)</f>
        <v>0</v>
      </c>
      <c r="F31" s="723">
        <f>SUM(F20:F30)</f>
        <v>0</v>
      </c>
      <c r="G31" s="723">
        <f>SUM(G20:G30)</f>
        <v>0</v>
      </c>
      <c r="H31" s="727">
        <f>SUM(H20:H30)</f>
        <v>0</v>
      </c>
    </row>
    <row r="32" spans="2:8" ht="16">
      <c r="B32" s="2646" t="s">
        <v>14</v>
      </c>
      <c r="C32" s="2647"/>
      <c r="D32" s="731">
        <f>+D31-D33-D34</f>
        <v>0</v>
      </c>
      <c r="E32" s="732">
        <f>+E31-E33-E34</f>
        <v>0</v>
      </c>
      <c r="F32" s="733"/>
      <c r="G32" s="732">
        <f>+G31-G33-G34</f>
        <v>0</v>
      </c>
      <c r="H32" s="734">
        <f>+H31-H33-H34</f>
        <v>0</v>
      </c>
    </row>
    <row r="33" spans="2:8" ht="16">
      <c r="B33" s="2646" t="s">
        <v>787</v>
      </c>
      <c r="C33" s="2647"/>
      <c r="D33" s="728"/>
      <c r="E33" s="735"/>
      <c r="F33" s="736"/>
      <c r="G33" s="735"/>
      <c r="H33" s="737"/>
    </row>
    <row r="34" spans="2:8" ht="16">
      <c r="B34" s="2646" t="s">
        <v>26</v>
      </c>
      <c r="C34" s="2647"/>
      <c r="D34" s="738">
        <f>+D30</f>
        <v>0</v>
      </c>
      <c r="E34" s="739">
        <f>E30</f>
        <v>0</v>
      </c>
      <c r="F34" s="736"/>
      <c r="G34" s="723">
        <f>G30</f>
        <v>0</v>
      </c>
      <c r="H34" s="727">
        <f>+H30</f>
        <v>0</v>
      </c>
    </row>
    <row r="35" spans="2:8" ht="16">
      <c r="B35" s="2646" t="s">
        <v>27</v>
      </c>
      <c r="C35" s="2647"/>
      <c r="D35" s="726"/>
      <c r="E35" s="663"/>
      <c r="F35" s="736"/>
      <c r="G35" s="663"/>
      <c r="H35" s="729"/>
    </row>
    <row r="36" spans="2:8" ht="18" customHeight="1">
      <c r="B36" s="2648" t="s">
        <v>786</v>
      </c>
      <c r="C36" s="2649"/>
      <c r="D36" s="669"/>
      <c r="E36" s="669"/>
      <c r="F36" s="740"/>
      <c r="G36" s="741"/>
      <c r="H36" s="742"/>
    </row>
    <row r="37" spans="2:8" ht="16">
      <c r="B37" s="2646" t="s">
        <v>11</v>
      </c>
      <c r="C37" s="2647"/>
      <c r="D37" s="731">
        <f>SUM(D20:D23)</f>
        <v>0</v>
      </c>
      <c r="E37" s="732">
        <f>SUM(E20:E23)</f>
        <v>0</v>
      </c>
      <c r="F37" s="733"/>
      <c r="G37" s="732">
        <f>SUM(G20:G23)</f>
        <v>0</v>
      </c>
      <c r="H37" s="734">
        <f>SUM(H20:H23)</f>
        <v>0</v>
      </c>
    </row>
    <row r="38" spans="2:8" ht="16">
      <c r="B38" s="2636" t="s">
        <v>887</v>
      </c>
      <c r="C38" s="2637"/>
      <c r="D38" s="728"/>
      <c r="E38" s="1168"/>
      <c r="F38" s="743"/>
      <c r="G38" s="1169"/>
      <c r="H38" s="1170"/>
    </row>
    <row r="39" spans="2:8" ht="17" thickBot="1">
      <c r="B39" s="2638" t="s">
        <v>1388</v>
      </c>
      <c r="C39" s="2639"/>
      <c r="D39" s="744"/>
      <c r="E39" s="745"/>
      <c r="F39" s="746"/>
      <c r="G39" s="802"/>
      <c r="H39" s="747"/>
    </row>
    <row r="41" spans="2:8">
      <c r="B41" s="869"/>
      <c r="C41" s="869"/>
      <c r="D41" s="869"/>
      <c r="E41" s="869"/>
      <c r="F41" s="869"/>
      <c r="G41" s="869"/>
      <c r="H41" s="869"/>
    </row>
    <row r="42" spans="2:8">
      <c r="B42" s="869"/>
      <c r="C42" s="869"/>
      <c r="D42" s="905">
        <f>IF(elevtal_1&lt;=100,4260,"0")</f>
        <v>4260</v>
      </c>
      <c r="E42" s="906" t="str">
        <f>IF(AND(elevtal_1&gt;=101,elevtal_1&lt;=200),5320,"0")</f>
        <v>0</v>
      </c>
      <c r="F42" s="369" t="str">
        <f>IF(AND(elevtal_1&gt;=201,elevtal_1&lt;=300),6400,"0")</f>
        <v>0</v>
      </c>
      <c r="G42" s="369" t="str">
        <f>IF(AND(elevtal_1&gt;=301,elevtal_1&lt;=400),7460,"0")</f>
        <v>0</v>
      </c>
      <c r="H42" s="905" t="str">
        <f>IF(elevtal_1&gt;400,"8530","0")</f>
        <v>0</v>
      </c>
    </row>
    <row r="43" spans="2:8">
      <c r="B43" s="869"/>
      <c r="C43" s="869"/>
      <c r="D43" s="869"/>
      <c r="E43" s="869"/>
      <c r="F43" s="869"/>
      <c r="G43" s="869"/>
      <c r="H43" s="869"/>
    </row>
    <row r="44" spans="2:8">
      <c r="B44" s="869"/>
      <c r="C44" s="869"/>
      <c r="D44" s="869"/>
      <c r="E44" s="869"/>
      <c r="F44" s="869"/>
      <c r="G44" s="869"/>
      <c r="H44" s="869"/>
    </row>
    <row r="45" spans="2:8">
      <c r="B45" s="869"/>
      <c r="C45" s="869"/>
      <c r="D45" s="869"/>
      <c r="E45" s="869"/>
      <c r="F45" s="869"/>
      <c r="G45" s="869"/>
      <c r="H45" s="869"/>
    </row>
    <row r="46" spans="2:8">
      <c r="B46" s="869"/>
      <c r="C46" s="869"/>
      <c r="D46" s="869"/>
      <c r="E46" s="869"/>
      <c r="F46" s="869"/>
      <c r="G46" s="869"/>
      <c r="H46" s="869"/>
    </row>
  </sheetData>
  <sheetProtection sheet="1" formatCells="0" formatColumns="0" formatRows="0" selectLockedCells="1"/>
  <mergeCells count="32">
    <mergeCell ref="B9:G9"/>
    <mergeCell ref="H8:H9"/>
    <mergeCell ref="B12:G12"/>
    <mergeCell ref="B6:H6"/>
    <mergeCell ref="B2:H2"/>
    <mergeCell ref="B5:H5"/>
    <mergeCell ref="B7:G7"/>
    <mergeCell ref="B8:G8"/>
    <mergeCell ref="B10:G10"/>
    <mergeCell ref="H10:H11"/>
    <mergeCell ref="B11:G11"/>
    <mergeCell ref="B26:C26"/>
    <mergeCell ref="B27:C27"/>
    <mergeCell ref="B20:C20"/>
    <mergeCell ref="B21:C21"/>
    <mergeCell ref="B22:C22"/>
    <mergeCell ref="B38:C38"/>
    <mergeCell ref="B39:C39"/>
    <mergeCell ref="B17:C19"/>
    <mergeCell ref="B33:C33"/>
    <mergeCell ref="B34:C34"/>
    <mergeCell ref="B35:C35"/>
    <mergeCell ref="B36:C36"/>
    <mergeCell ref="B37:C37"/>
    <mergeCell ref="B28:C28"/>
    <mergeCell ref="B29:C29"/>
    <mergeCell ref="B30:C30"/>
    <mergeCell ref="B31:C31"/>
    <mergeCell ref="B32:C32"/>
    <mergeCell ref="B23:C23"/>
    <mergeCell ref="B24:C24"/>
    <mergeCell ref="B25:C25"/>
  </mergeCells>
  <phoneticPr fontId="55" type="noConversion"/>
  <dataValidations count="1">
    <dataValidation type="list" allowBlank="1" showInputMessage="1" showErrorMessage="1" sqref="H8:H11" xr:uid="{00000000-0002-0000-0200-000000000000}">
      <formula1>$I$8:$I$9</formula1>
    </dataValidation>
  </dataValidations>
  <printOptions horizontalCentered="1" verticalCentered="1"/>
  <pageMargins left="0.69" right="0.67" top="0.98" bottom="0.83" header="0.51" footer="0.51"/>
  <pageSetup paperSize="9" scale="81" orientation="portrait"/>
  <headerFooter scaleWithDoc="0" alignWithMargins="0">
    <oddFooter xml:space="preserve">&amp;L&amp;G&amp;R
&amp;D
&amp;A
</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rgb="FF00B0F0"/>
  </sheetPr>
  <dimension ref="A1:AC137"/>
  <sheetViews>
    <sheetView zoomScale="165" zoomScaleNormal="100" workbookViewId="0">
      <pane ySplit="1" topLeftCell="A2" activePane="bottomLeft" state="frozen"/>
      <selection pane="bottomLeft"/>
    </sheetView>
  </sheetViews>
  <sheetFormatPr baseColWidth="10" defaultColWidth="11.33203125" defaultRowHeight="13"/>
  <cols>
    <col min="1" max="1" width="2.5" customWidth="1"/>
    <col min="2" max="2" width="11.1640625" style="2" customWidth="1"/>
    <col min="3" max="3" width="60.83203125" style="5" customWidth="1"/>
    <col min="4" max="4" width="13.33203125" style="5" customWidth="1"/>
    <col min="5" max="5" width="14.83203125" style="5" customWidth="1"/>
    <col min="6" max="6" width="13.33203125" style="5" customWidth="1"/>
    <col min="7" max="7" width="13" style="5" customWidth="1"/>
    <col min="8" max="8" width="14.5" customWidth="1"/>
    <col min="9" max="9" width="8.83203125" customWidth="1"/>
    <col min="10" max="10" width="14.83203125" customWidth="1"/>
    <col min="11" max="11" width="8.83203125" customWidth="1"/>
    <col min="12" max="12" width="3.1640625" customWidth="1"/>
  </cols>
  <sheetData>
    <row r="1" spans="1:29" s="141" customFormat="1" ht="26.25" customHeight="1" thickBot="1">
      <c r="C1" s="2690"/>
      <c r="D1" s="2690"/>
      <c r="E1" s="2690"/>
      <c r="F1" s="2690"/>
      <c r="G1" s="142"/>
      <c r="H1" s="143"/>
      <c r="I1"/>
      <c r="J1"/>
      <c r="K1"/>
      <c r="L1"/>
      <c r="M1"/>
      <c r="N1"/>
      <c r="O1"/>
      <c r="P1"/>
      <c r="Q1"/>
      <c r="R1"/>
      <c r="S1"/>
      <c r="T1"/>
      <c r="U1"/>
      <c r="V1"/>
      <c r="W1"/>
      <c r="X1"/>
      <c r="Y1"/>
      <c r="Z1"/>
      <c r="AA1"/>
      <c r="AB1"/>
      <c r="AC1"/>
    </row>
    <row r="2" spans="1:29" ht="49" customHeight="1">
      <c r="A2" s="174"/>
      <c r="B2" s="175"/>
      <c r="C2" s="695" t="s">
        <v>351</v>
      </c>
      <c r="D2" s="1145" t="str">
        <f>"Regnskab "&amp;budgetår-2</f>
        <v>Regnskab 2022</v>
      </c>
      <c r="E2" s="1143" t="str">
        <f>"Regnskab "&amp;budgetår-1</f>
        <v>Regnskab 2023</v>
      </c>
      <c r="F2" s="2670" t="str">
        <f>"BUDGET "&amp;budgetår</f>
        <v>BUDGET 2024</v>
      </c>
      <c r="G2" s="1329" t="str">
        <f>"BUDGET "&amp;budgetår+1</f>
        <v>BUDGET 2025</v>
      </c>
      <c r="H2" s="1330" t="str">
        <f>"Budget "&amp;Forside!B5</f>
        <v>Budget Min egen friskole</v>
      </c>
      <c r="I2" s="916"/>
    </row>
    <row r="3" spans="1:29" ht="57" thickBot="1">
      <c r="A3" s="176"/>
      <c r="B3" s="82"/>
      <c r="C3" s="696" t="s">
        <v>274</v>
      </c>
      <c r="D3" s="1146" t="s">
        <v>1397</v>
      </c>
      <c r="E3" s="1144" t="s">
        <v>1398</v>
      </c>
      <c r="F3" s="2671"/>
      <c r="G3" s="1328" t="str">
        <f>budgetår+1&amp;""&amp;"("&amp;budgetår&amp;"+"&amp;fremskrivning*100&amp;"%)"</f>
        <v>2025(2024+1,5%)</v>
      </c>
      <c r="H3" s="689" t="str">
        <f>F2&amp;" /elev "</f>
        <v xml:space="preserve">BUDGET 2024 /elev </v>
      </c>
    </row>
    <row r="4" spans="1:29" ht="15" customHeight="1">
      <c r="A4" s="2694" t="s">
        <v>310</v>
      </c>
      <c r="B4" s="2695"/>
      <c r="C4" s="691" t="s">
        <v>231</v>
      </c>
      <c r="D4" s="690"/>
      <c r="E4" s="442">
        <f>elevtal_1</f>
        <v>0</v>
      </c>
      <c r="F4" s="177">
        <f>Elevtal</f>
        <v>0</v>
      </c>
      <c r="G4" s="178">
        <f>elevtal_2</f>
        <v>0</v>
      </c>
      <c r="H4" s="387"/>
    </row>
    <row r="5" spans="1:29" ht="14">
      <c r="A5" s="2694"/>
      <c r="B5" s="2695"/>
      <c r="C5" s="692" t="s">
        <v>300</v>
      </c>
      <c r="D5" s="690"/>
      <c r="E5" s="86">
        <f>ROUND((D4*7/12)+(E4*5/12),2)</f>
        <v>0</v>
      </c>
      <c r="F5" s="86">
        <f>ROUND((E4*7/12)+(F4*5/12),2)</f>
        <v>0</v>
      </c>
      <c r="G5" s="86">
        <f>ROUND((F4*7/12)+(G4*5/12),2)</f>
        <v>0</v>
      </c>
      <c r="H5" s="388">
        <f>ROUND(((E4*7)+(F4*5))/12,2)</f>
        <v>0</v>
      </c>
    </row>
    <row r="6" spans="1:29" ht="14" customHeight="1">
      <c r="A6" s="2694"/>
      <c r="B6" s="2695"/>
      <c r="C6" s="692" t="s">
        <v>778</v>
      </c>
      <c r="D6" s="690"/>
      <c r="E6" s="442">
        <f>Forside!E38</f>
        <v>0</v>
      </c>
      <c r="F6" s="1362">
        <f>Forside!G38</f>
        <v>0</v>
      </c>
      <c r="G6" s="87">
        <f>IF(Forside!H38=0,0,Forside!H38)</f>
        <v>0</v>
      </c>
      <c r="H6" s="388" t="str">
        <f>"pr. / elev "</f>
        <v xml:space="preserve">pr. / elev </v>
      </c>
    </row>
    <row r="7" spans="1:29" ht="14" customHeight="1">
      <c r="A7" s="1358"/>
      <c r="B7" s="1338"/>
      <c r="C7" s="1360" t="s">
        <v>1291</v>
      </c>
      <c r="D7" s="690"/>
      <c r="E7" s="1361"/>
      <c r="F7" s="1369">
        <f>IF('Heltids SFO'!M12&gt;0,'Heltids SFO'!O10,0)</f>
        <v>0</v>
      </c>
      <c r="G7" s="1389"/>
      <c r="H7" s="1359"/>
    </row>
    <row r="8" spans="1:29" ht="14">
      <c r="A8" s="2680"/>
      <c r="B8" s="2681"/>
      <c r="C8" s="854" t="s">
        <v>301</v>
      </c>
      <c r="D8" s="690"/>
      <c r="E8" s="443"/>
      <c r="F8" s="1331">
        <f>IF(Daginstitution!E3&gt;0,Daginstitution!U13,0)</f>
        <v>0</v>
      </c>
      <c r="G8" s="1390"/>
      <c r="H8" s="855"/>
    </row>
    <row r="9" spans="1:29" ht="15" thickBot="1">
      <c r="A9" s="2680"/>
      <c r="B9" s="2681"/>
      <c r="C9" s="693" t="s">
        <v>892</v>
      </c>
      <c r="D9" s="690"/>
      <c r="E9" s="443"/>
      <c r="F9" s="1331">
        <f>IF(Daginstitution!E39&gt;0,Daginstitution!U49,0)</f>
        <v>0</v>
      </c>
      <c r="G9" s="1391"/>
      <c r="H9" s="856"/>
    </row>
    <row r="10" spans="1:29" ht="14" thickBot="1">
      <c r="A10" s="179"/>
      <c r="B10" s="95"/>
      <c r="C10" s="694"/>
      <c r="D10" s="96"/>
      <c r="E10" s="96"/>
      <c r="F10" s="96">
        <f>SUM(F8:F9)</f>
        <v>0</v>
      </c>
      <c r="G10" s="96">
        <f>SUM(G8:G9)</f>
        <v>0</v>
      </c>
      <c r="H10" s="97"/>
    </row>
    <row r="11" spans="1:29" s="807" customFormat="1" ht="14" thickBot="1">
      <c r="A11" s="809"/>
      <c r="B11" s="810"/>
      <c r="C11" s="2698" t="s">
        <v>883</v>
      </c>
      <c r="D11" s="2699"/>
      <c r="E11" s="2699"/>
      <c r="F11" s="2699"/>
      <c r="G11" s="2699"/>
      <c r="H11" s="2700"/>
    </row>
    <row r="12" spans="1:29" ht="17" customHeight="1">
      <c r="A12" s="808"/>
      <c r="B12" s="126"/>
      <c r="C12" s="880" t="s">
        <v>293</v>
      </c>
      <c r="D12" s="2206"/>
      <c r="E12" s="2197"/>
      <c r="F12" s="1109">
        <f>Statstilskud!K45</f>
        <v>0</v>
      </c>
      <c r="G12" s="1110">
        <f>Statstilskud!K107</f>
        <v>0</v>
      </c>
      <c r="H12" s="1111">
        <f t="shared" ref="H12:H65" si="0">IF($F$4=0,0,F12/((($E$4*7)+($F$4*5))/12))</f>
        <v>0</v>
      </c>
    </row>
    <row r="13" spans="1:29" ht="14" thickBot="1">
      <c r="A13" s="808"/>
      <c r="B13" s="126"/>
      <c r="C13" s="881" t="s">
        <v>1066</v>
      </c>
      <c r="D13" s="2206"/>
      <c r="E13" s="2207"/>
      <c r="F13" s="1112">
        <f>Statstilskud!K64</f>
        <v>137755</v>
      </c>
      <c r="G13" s="1112">
        <f>Statstilskud!K127</f>
        <v>137755</v>
      </c>
      <c r="H13" s="1113">
        <f t="shared" si="0"/>
        <v>0</v>
      </c>
    </row>
    <row r="14" spans="1:29" ht="14" thickBot="1">
      <c r="A14" s="808"/>
      <c r="B14" s="126"/>
      <c r="C14" s="2676" t="s">
        <v>884</v>
      </c>
      <c r="D14" s="2677"/>
      <c r="E14" s="2677"/>
      <c r="F14" s="2677"/>
      <c r="G14" s="2677"/>
      <c r="H14" s="2678"/>
    </row>
    <row r="15" spans="1:29">
      <c r="A15" s="2691"/>
      <c r="B15" s="2687"/>
      <c r="C15" s="882" t="s">
        <v>886</v>
      </c>
      <c r="D15" s="2193"/>
      <c r="E15" s="2197"/>
      <c r="F15" s="1114">
        <f>IF('Skolepenge, pasningsordning.'!G16=0,0,'Skolepenge, pasningsordning.'!I34)</f>
        <v>0</v>
      </c>
      <c r="G15" s="1115" t="str">
        <f>IF(G4=0,"0",(('Skolepenge, pasningsordning.'!G30/'Skolepenge, pasningsordning.'!F20*'Skolepenge, pasningsordning.'!F6)+'Skolepenge, pasningsordning.'!G30/Hovedskema!F4*Hovedskema!G4+'Skolepenge, pasningsordning.'!I33+'Skolepenge, pasningsordning.'!I31))</f>
        <v>0</v>
      </c>
      <c r="H15" s="1116">
        <f t="shared" si="0"/>
        <v>0</v>
      </c>
    </row>
    <row r="16" spans="1:29">
      <c r="A16" s="2691"/>
      <c r="B16" s="2687"/>
      <c r="C16" s="883" t="s">
        <v>880</v>
      </c>
      <c r="D16" s="2194"/>
      <c r="E16" s="2198"/>
      <c r="F16" s="1117" t="str">
        <f>IF(F6=0,"0",'Skolepenge, pasningsordning.'!I68)</f>
        <v>0</v>
      </c>
      <c r="G16" s="1117">
        <f>IF(G6=0,"0",('Skolepenge, pasningsordning.'!G64/'Skolepenge, pasningsordning.'!F54*'Skolepenge, pasningsordning.'!F40)+'Skolepenge, pasningsordning.'!G64/Forside!G38*Forside!H38)+'Skolepenge, pasningsordning.'!I67+'Skolepenge, pasningsordning.'!I65</f>
        <v>0</v>
      </c>
      <c r="H16" s="1118">
        <f>IF($F$6=0,0,F16/((($E$6*7)+($F$6*5))/12))</f>
        <v>0</v>
      </c>
    </row>
    <row r="17" spans="1:13">
      <c r="A17" s="781"/>
      <c r="B17" s="126"/>
      <c r="C17" s="2337" t="s">
        <v>1389</v>
      </c>
      <c r="D17" s="2194"/>
      <c r="E17" s="2198"/>
      <c r="F17" s="1119">
        <f>'Skolepenge, pasningsordning.'!I91</f>
        <v>0</v>
      </c>
      <c r="G17" s="1117" t="str">
        <f>IF(Forside!H39=0,"0",'Skolepenge, pasningsordning.'!G90/'Skolepenge, pasningsordning.'!F84*'Skolepenge, pasningsordning.'!F74+('Skolepenge, pasningsordning.'!G90/'Skolepenge, pasningsordning.'!E90*Forside!H39))</f>
        <v>0</v>
      </c>
      <c r="H17" s="1118">
        <f>IF(Forside!E39=0,0,F17/(((Forside!E39*7)+(Forside!G39*5))/12))</f>
        <v>0</v>
      </c>
    </row>
    <row r="18" spans="1:13" ht="16" customHeight="1">
      <c r="A18" s="2691"/>
      <c r="B18" s="2687"/>
      <c r="C18" s="2337" t="s">
        <v>898</v>
      </c>
      <c r="D18" s="2195"/>
      <c r="E18" s="2198"/>
      <c r="F18" s="1120" t="str">
        <f>IF(F8=0,"0",Daginstitution!S20+Daginstitution!S28)</f>
        <v>0</v>
      </c>
      <c r="G18" s="1120" t="str">
        <f>IF(G8=0,"0",(F18/Daginstitution!E3*Daginstitution!E4)/Hovedskema!F8*Hovedskema!G8)</f>
        <v>0</v>
      </c>
      <c r="H18" s="1121" t="str">
        <f>IF(F8=0,"0",F18/Daginstitution!E3*Daginstitution!E4/Hovedskema!F8)</f>
        <v>0</v>
      </c>
      <c r="M18" s="10"/>
    </row>
    <row r="19" spans="1:13" ht="16" customHeight="1">
      <c r="A19" s="781"/>
      <c r="B19" s="126"/>
      <c r="C19" s="883" t="s">
        <v>899</v>
      </c>
      <c r="D19" s="2195"/>
      <c r="E19" s="2198"/>
      <c r="F19" s="1120" t="str">
        <f>IF(F9=0,"0",Daginstitution!S56+Daginstitution!S64)</f>
        <v>0</v>
      </c>
      <c r="G19" s="1120" t="str">
        <f>IF(G9=0,"0",(F19/Daginstitution!E39*Daginstitution!E40)/Hovedskema!F9*Hovedskema!G9)</f>
        <v>0</v>
      </c>
      <c r="H19" s="1121" t="str">
        <f>IF(F9=0,"0",F19/Daginstitution!E39*Daginstitution!E40/Hovedskema!F9)</f>
        <v>0</v>
      </c>
      <c r="M19" s="10"/>
    </row>
    <row r="20" spans="1:13" ht="16" customHeight="1">
      <c r="A20" s="781"/>
      <c r="B20" s="126"/>
      <c r="C20" s="883" t="s">
        <v>910</v>
      </c>
      <c r="D20" s="2195"/>
      <c r="E20" s="2198"/>
      <c r="F20" s="1122">
        <f>'Heltids SFO'!M12+'Heltids SFO'!M20</f>
        <v>0</v>
      </c>
      <c r="G20" s="1374">
        <f>IF(F20&gt;0,F20/F7*G7,0)</f>
        <v>0</v>
      </c>
      <c r="H20" s="1121">
        <f>IF(F20&gt;0,F20/F7,0)</f>
        <v>0</v>
      </c>
      <c r="I20" s="857"/>
      <c r="M20" s="10"/>
    </row>
    <row r="21" spans="1:13" ht="16" customHeight="1" thickBot="1">
      <c r="A21" s="781"/>
      <c r="B21" s="126"/>
      <c r="C21" s="888" t="s">
        <v>1068</v>
      </c>
      <c r="D21" s="2196"/>
      <c r="E21" s="2199"/>
      <c r="F21" s="1123">
        <f>'Skolepenge, pasningsordning.'!H108-'Skolepenge, pasningsordning.'!H97-'Skolepenge, pasningsordning.'!H98-'Skolepenge, pasningsordning.'!H99</f>
        <v>0</v>
      </c>
      <c r="G21" s="1375">
        <f>'Skolepenge, pasningsordning.'!I108-'Skolepenge, pasningsordning.'!I97-'Skolepenge, pasningsordning.'!I98-'Skolepenge, pasningsordning.'!I99</f>
        <v>0</v>
      </c>
      <c r="H21" s="1124">
        <f t="shared" si="0"/>
        <v>0</v>
      </c>
      <c r="I21" s="869"/>
      <c r="M21" s="10"/>
    </row>
    <row r="22" spans="1:13" ht="16" customHeight="1" thickBot="1">
      <c r="A22" s="781"/>
      <c r="B22" s="126"/>
      <c r="C22" s="2672" t="s">
        <v>885</v>
      </c>
      <c r="D22" s="2679"/>
      <c r="E22" s="2679"/>
      <c r="F22" s="2674"/>
      <c r="G22" s="2674"/>
      <c r="H22" s="2675"/>
      <c r="M22" s="10"/>
    </row>
    <row r="23" spans="1:13" ht="16" customHeight="1">
      <c r="A23" s="781"/>
      <c r="B23" s="126"/>
      <c r="C23" s="889" t="s">
        <v>906</v>
      </c>
      <c r="D23" s="2200"/>
      <c r="E23" s="2203"/>
      <c r="F23" s="1125">
        <f>'Skolepenge, pasningsordning.'!H118</f>
        <v>0</v>
      </c>
      <c r="G23" s="1125">
        <f>'Skolepenge, pasningsordning.'!I118</f>
        <v>0</v>
      </c>
      <c r="H23" s="1126" t="str">
        <f>IF(F6=0,"0",F23/F6)</f>
        <v>0</v>
      </c>
      <c r="M23" s="10"/>
    </row>
    <row r="24" spans="1:13" ht="16" customHeight="1">
      <c r="A24" s="781"/>
      <c r="B24" s="126"/>
      <c r="C24" s="2338" t="s">
        <v>1390</v>
      </c>
      <c r="D24" s="2201"/>
      <c r="E24" s="2204"/>
      <c r="F24" s="1127">
        <f>'Skolepenge, pasningsordning.'!H119</f>
        <v>0</v>
      </c>
      <c r="G24" s="1127">
        <f>'Skolepenge, pasningsordning.'!I119</f>
        <v>0</v>
      </c>
      <c r="H24" s="1128" t="str">
        <f>IF(Forside!H39=0,"0",Hovedskema!F24/Forside!E39)</f>
        <v>0</v>
      </c>
      <c r="M24" s="10"/>
    </row>
    <row r="25" spans="1:13" ht="16" customHeight="1">
      <c r="A25" s="781"/>
      <c r="B25" s="126"/>
      <c r="C25" s="884" t="s">
        <v>901</v>
      </c>
      <c r="D25" s="2201"/>
      <c r="E25" s="2204"/>
      <c r="F25" s="1129">
        <f>Daginstitution!T20</f>
        <v>0</v>
      </c>
      <c r="G25" s="1127" t="str">
        <f>IF(G8=0,"0",(F25/Daginstitution!T3*Daginstitution!T4)/Hovedskema!F8*Hovedskema!G8)</f>
        <v>0</v>
      </c>
      <c r="H25" s="1128" t="str">
        <f>IF(F8=0,"0",(F25/Daginstitution!T3*Daginstitution!T4)/Hovedskema!F8)</f>
        <v>0</v>
      </c>
      <c r="M25" s="10"/>
    </row>
    <row r="26" spans="1:13" ht="16" customHeight="1">
      <c r="A26" s="781"/>
      <c r="B26" s="126"/>
      <c r="C26" s="884" t="s">
        <v>900</v>
      </c>
      <c r="D26" s="2201"/>
      <c r="E26" s="2204"/>
      <c r="F26" s="1129">
        <f>Daginstitution!T56</f>
        <v>0</v>
      </c>
      <c r="G26" s="1127" t="str">
        <f>IF(G9=0,"0",(F26/Daginstitution!T39*Daginstitution!T40/F9*Hovedskema!G9))</f>
        <v>0</v>
      </c>
      <c r="H26" s="1128" t="str">
        <f>IF(F9=0,"0",(F26/Daginstitution!T39*Daginstitution!T40)/Hovedskema!F9)</f>
        <v>0</v>
      </c>
      <c r="M26" s="10"/>
    </row>
    <row r="27" spans="1:13" ht="16" customHeight="1">
      <c r="A27" s="781"/>
      <c r="B27" s="126"/>
      <c r="C27" s="884" t="s">
        <v>881</v>
      </c>
      <c r="D27" s="2201"/>
      <c r="E27" s="2204"/>
      <c r="F27" s="1129">
        <f>'Heltids SFO'!N12</f>
        <v>0</v>
      </c>
      <c r="G27" s="1386">
        <f>IF(F27&gt;0,F27/F7*G7,0)</f>
        <v>0</v>
      </c>
      <c r="H27" s="1128">
        <f>IF(F27&gt;0,F27/F7,0)</f>
        <v>0</v>
      </c>
      <c r="M27" s="10"/>
    </row>
    <row r="28" spans="1:13" ht="17" customHeight="1" thickBot="1">
      <c r="A28" s="2692"/>
      <c r="B28" s="2693"/>
      <c r="C28" s="885" t="s">
        <v>879</v>
      </c>
      <c r="D28" s="2202"/>
      <c r="E28" s="2205"/>
      <c r="F28" s="1130">
        <f>('Skolepenge, pasningsordning.'!H148-'Skolepenge, pasningsordning.'!H112-'Skolepenge, pasningsordning.'!H113-'Skolepenge, pasningsordning.'!H114-'Skolepenge, pasningsordning.'!H118-'Skolepenge, pasningsordning.'!H119)</f>
        <v>0</v>
      </c>
      <c r="G28" s="1387">
        <f>IF(F28&gt;0,'Skolepenge, pasningsordning.'!I148-SUM('Skolepenge, pasningsordning.'!I112:I119)+'Skolepenge, pasningsordning.'!I115+'Skolepenge, pasningsordning.'!I116+'Skolepenge, pasningsordning.'!I117,0)</f>
        <v>0</v>
      </c>
      <c r="H28" s="1131">
        <f t="shared" si="0"/>
        <v>0</v>
      </c>
    </row>
    <row r="29" spans="1:13" ht="16" customHeight="1" thickBot="1">
      <c r="A29" s="2688"/>
      <c r="B29" s="2689"/>
      <c r="C29" s="165" t="s">
        <v>882</v>
      </c>
      <c r="D29" s="890">
        <f>SUM(D12:D28)</f>
        <v>0</v>
      </c>
      <c r="E29" s="891">
        <f>SUM(E12:E28)</f>
        <v>0</v>
      </c>
      <c r="F29" s="891">
        <f>SUM(F12:F28)</f>
        <v>137755</v>
      </c>
      <c r="G29" s="891">
        <f>SUM(G12:G28)</f>
        <v>137755</v>
      </c>
      <c r="H29" s="892">
        <f>IF($F$4=0,0,F29/((($E$4*7)+($F$4*5))/12))</f>
        <v>0</v>
      </c>
    </row>
    <row r="30" spans="1:13" ht="16" customHeight="1" thickBot="1">
      <c r="A30" s="781"/>
      <c r="B30" s="126"/>
      <c r="C30" s="2672" t="s">
        <v>971</v>
      </c>
      <c r="D30" s="2673"/>
      <c r="E30" s="2674"/>
      <c r="F30" s="2674"/>
      <c r="G30" s="2674"/>
      <c r="H30" s="2675"/>
      <c r="M30" s="10"/>
    </row>
    <row r="31" spans="1:13" ht="16" customHeight="1">
      <c r="A31" s="2696"/>
      <c r="B31" s="2697"/>
      <c r="C31" s="154" t="s">
        <v>1073</v>
      </c>
      <c r="D31" s="1107"/>
      <c r="E31" s="1245"/>
      <c r="F31" s="1132" t="e" vm="1">
        <f>'lon undervisning'!AD67+'lon undervisning'!AF94+SUM('lon undervisning'!AB94:AC94)+'Lon pæd., TAP mm'!BG56+'Lon pæd., TAP mm'!BF82+'Lon pæd., TAP mm'!BG82+'Lon pæd., TAP mm'!BG85</f>
        <v>#VALUE!</v>
      </c>
      <c r="G31" s="1132" t="e" vm="1">
        <f>'lon undervisning'!AD68+'lon undervisning'!AF96+SUM('lon undervisning'!AB96:AC96)+'Lon pæd., TAP mm'!BG57+'Lon pæd., TAP mm'!BF84+'Lon pæd., TAP mm'!BG84+'Lon pæd., TAP mm'!BG86</f>
        <v>#VALUE!</v>
      </c>
      <c r="H31" s="1133">
        <f t="shared" si="0"/>
        <v>0</v>
      </c>
      <c r="I31" s="869"/>
    </row>
    <row r="32" spans="1:13" ht="16" customHeight="1">
      <c r="A32" s="2696"/>
      <c r="B32" s="2697"/>
      <c r="C32" s="155" t="s">
        <v>245</v>
      </c>
      <c r="D32" s="1105"/>
      <c r="E32" s="1245"/>
      <c r="F32" s="94">
        <f>'lon undervisning'!AD82+SUM('Lon pæd., TAP mm'!AV69:BG69)</f>
        <v>0</v>
      </c>
      <c r="G32" s="94">
        <f>'lon undervisning'!AD83+SUM('Lon pæd., TAP mm'!AV70:BG70)</f>
        <v>0</v>
      </c>
      <c r="H32" s="1134">
        <f t="shared" si="0"/>
        <v>0</v>
      </c>
    </row>
    <row r="33" spans="1:13" ht="16" customHeight="1">
      <c r="A33" s="2686"/>
      <c r="B33" s="2687"/>
      <c r="C33" s="154" t="s">
        <v>1075</v>
      </c>
      <c r="D33" s="1105"/>
      <c r="E33" s="1245"/>
      <c r="F33" s="1178">
        <f>'Lon pæd., TAP mm'!U85+'Lon pæd., TAP mm'!U56+SUM('Lon pæd., TAP mm'!T82:U82)</f>
        <v>0</v>
      </c>
      <c r="G33" s="94">
        <f>'Lon pæd., TAP mm'!U57+'Lon pæd., TAP mm'!U86+SUM('Lon pæd., TAP mm'!T84:U84)</f>
        <v>0</v>
      </c>
      <c r="H33" s="1134">
        <f>IF(F6=0,0,F33/((($E$6*7)+($F$6*5))/12))</f>
        <v>0</v>
      </c>
    </row>
    <row r="34" spans="1:13" ht="16" customHeight="1">
      <c r="A34" s="2686"/>
      <c r="B34" s="2687"/>
      <c r="C34" s="784" t="s">
        <v>814</v>
      </c>
      <c r="D34" s="1105"/>
      <c r="E34" s="451"/>
      <c r="F34" s="94">
        <f>'Lon pæd., TAP mm'!U71</f>
        <v>0</v>
      </c>
      <c r="G34" s="94">
        <f>SUM('Lon pæd., TAP mm'!C70:U70)</f>
        <v>0</v>
      </c>
      <c r="H34" s="1134">
        <f>IF(F6=0,0,F34/((($E$6*7)+($F$6*5))/12))</f>
        <v>0</v>
      </c>
    </row>
    <row r="35" spans="1:13" ht="16" customHeight="1">
      <c r="A35" s="2686"/>
      <c r="B35" s="2687"/>
      <c r="C35" s="154" t="s">
        <v>1076</v>
      </c>
      <c r="D35" s="1105"/>
      <c r="E35" s="1245"/>
      <c r="F35" s="94">
        <f>'Lon pæd., TAP mm'!AU56+'Lon pæd., TAP mm'!AU85+SUM('Lon pæd., TAP mm'!AT82:AU82)</f>
        <v>0</v>
      </c>
      <c r="G35" s="94">
        <f>'Lon pæd., TAP mm'!AU86+'Lon pæd., TAP mm'!AU57+SUM('Lon pæd., TAP mm'!AT84:AU84)</f>
        <v>0</v>
      </c>
      <c r="H35" s="1135">
        <f>IF(F35&gt;0,F35/F7,0)</f>
        <v>0</v>
      </c>
    </row>
    <row r="36" spans="1:13" ht="16" customHeight="1">
      <c r="A36" s="2686"/>
      <c r="B36" s="2687"/>
      <c r="C36" s="784" t="s">
        <v>866</v>
      </c>
      <c r="D36" s="1105"/>
      <c r="E36" s="451"/>
      <c r="F36" s="94">
        <f>'Lon pæd., TAP mm'!AU71</f>
        <v>0</v>
      </c>
      <c r="G36" s="1136">
        <f>SUM('Lon pæd., TAP mm'!AJ70:AU70)</f>
        <v>0</v>
      </c>
      <c r="H36" s="1135">
        <f>IF(F36&gt;0,F36/F7,0)</f>
        <v>0</v>
      </c>
    </row>
    <row r="37" spans="1:13" ht="16" customHeight="1">
      <c r="A37" s="2686"/>
      <c r="B37" s="2687"/>
      <c r="C37" s="154" t="s">
        <v>1077</v>
      </c>
      <c r="D37" s="1106"/>
      <c r="E37" s="1245"/>
      <c r="F37" s="1137">
        <f>'Lon pæd., TAP mm'!AI85+'Lon pæd., TAP mm'!AI56+SUM('Lon pæd., TAP mm'!AH82:AI82)</f>
        <v>0</v>
      </c>
      <c r="G37" s="1138">
        <f>'Lon pæd., TAP mm'!AI57+'Lon pæd., TAP mm'!AI86+SUM('Lon pæd., TAP mm'!AH84:AI84)</f>
        <v>0</v>
      </c>
      <c r="H37" s="1135">
        <f>IF($F$8=0,0,F37/F8/Daginstitution!T3)</f>
        <v>0</v>
      </c>
    </row>
    <row r="38" spans="1:13" ht="16" customHeight="1">
      <c r="A38" s="781"/>
      <c r="B38" s="126"/>
      <c r="C38" s="280" t="s">
        <v>812</v>
      </c>
      <c r="D38" s="1105"/>
      <c r="E38" s="1245"/>
      <c r="F38" s="1137">
        <f>'Lon pæd., TAP mm'!AI71</f>
        <v>0</v>
      </c>
      <c r="G38" s="1138">
        <f>SUM('Lon pæd., TAP mm'!V70:AI70)</f>
        <v>0</v>
      </c>
      <c r="H38" s="1135" t="str">
        <f>IF(F8=0,"0",F38/F8/Daginstitution!T3)</f>
        <v>0</v>
      </c>
    </row>
    <row r="39" spans="1:13" ht="16" customHeight="1">
      <c r="A39" s="2686"/>
      <c r="B39" s="2687"/>
      <c r="C39" s="887" t="s">
        <v>916</v>
      </c>
      <c r="D39" s="1105"/>
      <c r="E39" s="1245"/>
      <c r="F39" s="94">
        <f>IF('Undervisning-SFO udgifter'!E113=0,0,'Undervisning-SFO udgifter'!E113)</f>
        <v>0</v>
      </c>
      <c r="G39" s="1139">
        <f>(F39+'Undervisning-SFO udgifter'!F130)*(1+fremskrivning)</f>
        <v>0</v>
      </c>
      <c r="H39" s="1135">
        <f t="shared" si="0"/>
        <v>0</v>
      </c>
    </row>
    <row r="40" spans="1:13" ht="16" customHeight="1">
      <c r="A40" s="2686"/>
      <c r="B40" s="2687"/>
      <c r="C40" s="157" t="s">
        <v>917</v>
      </c>
      <c r="D40" s="1105"/>
      <c r="E40" s="1245"/>
      <c r="F40" s="1140">
        <f>IF('Undervisning-SFO udgifter'!E129=0,0,'Undervisning-SFO udgifter'!E129)</f>
        <v>0</v>
      </c>
      <c r="G40" s="94">
        <f>(F40+'Undervisning-SFO udgifter'!F131)*(1+fremskrivning)</f>
        <v>0</v>
      </c>
      <c r="H40" s="1135">
        <f>IF($F$6=0,0,F40/((($E$6*7)+($F$6*5))/12))</f>
        <v>0</v>
      </c>
    </row>
    <row r="41" spans="1:13" ht="16" customHeight="1">
      <c r="A41" s="781"/>
      <c r="B41" s="126"/>
      <c r="C41" s="157" t="s">
        <v>918</v>
      </c>
      <c r="D41" s="1105"/>
      <c r="E41" s="1245"/>
      <c r="F41" s="1141" t="str">
        <f>IF(F8=0,"0",Daginstitution!F152)</f>
        <v>0</v>
      </c>
      <c r="G41" s="1142" t="str">
        <f>IF(G8=0,"0",(((F41)+Daginstitution!F174)*(1+fremskrivning)))</f>
        <v>0</v>
      </c>
      <c r="H41" s="1135" t="str">
        <f>IF(F8=0,"0",F41/F8)</f>
        <v>0</v>
      </c>
      <c r="I41" s="893"/>
    </row>
    <row r="42" spans="1:13" ht="16" customHeight="1" thickBot="1">
      <c r="A42" s="2686"/>
      <c r="B42" s="2687"/>
      <c r="C42" s="784" t="s">
        <v>919</v>
      </c>
      <c r="D42" s="1108"/>
      <c r="E42" s="1245"/>
      <c r="F42" s="1138">
        <f>IF('Heltids SFO'!J46&gt;0,'Heltids SFO'!J46-'Heltids SFO'!J32-'Heltids SFO'!J33-'Heltids SFO'!J34,0)</f>
        <v>0</v>
      </c>
      <c r="G42" s="94">
        <f>IF('Heltids SFO'!M46&gt;0,'Heltids SFO'!M46-'Heltids SFO'!M32-'Heltids SFO'!M33-'Heltids SFO'!M34,0)</f>
        <v>0</v>
      </c>
      <c r="H42" s="1135">
        <f>IF(F42&gt;0,F42/F7,0)</f>
        <v>0</v>
      </c>
      <c r="I42" s="893"/>
    </row>
    <row r="43" spans="1:13" ht="16" customHeight="1" thickBot="1">
      <c r="A43" s="2688"/>
      <c r="B43" s="2689"/>
      <c r="C43" s="180" t="s">
        <v>970</v>
      </c>
      <c r="D43" s="785">
        <f>SUM(D31:D42)</f>
        <v>0</v>
      </c>
      <c r="E43" s="182">
        <f>SUM(E31:E42)</f>
        <v>0</v>
      </c>
      <c r="F43" s="785" t="e" vm="1">
        <f>SUM(F31:F42)</f>
        <v>#VALUE!</v>
      </c>
      <c r="G43" s="182" t="e" vm="1">
        <f>SUM(G31:G42)</f>
        <v>#VALUE!</v>
      </c>
      <c r="H43" s="183">
        <f t="shared" si="0"/>
        <v>0</v>
      </c>
      <c r="I43" s="893"/>
    </row>
    <row r="44" spans="1:13" ht="16" customHeight="1" thickBot="1">
      <c r="A44" s="781"/>
      <c r="B44" s="126"/>
      <c r="C44" s="2672" t="s">
        <v>972</v>
      </c>
      <c r="D44" s="2674"/>
      <c r="E44" s="2674"/>
      <c r="F44" s="2674"/>
      <c r="G44" s="2674"/>
      <c r="H44" s="2675"/>
      <c r="I44" s="893"/>
      <c r="M44" s="10"/>
    </row>
    <row r="45" spans="1:13" ht="16" customHeight="1">
      <c r="A45" s="2684"/>
      <c r="B45" s="2685"/>
      <c r="C45" s="184" t="s">
        <v>1074</v>
      </c>
      <c r="D45" s="444"/>
      <c r="E45" s="1245"/>
      <c r="F45" s="156">
        <f>'Lon pæd., TAP mm'!BZ85+'Lon pæd., TAP mm'!BZ56+SUM('Lon pæd., TAP mm'!BY82:BZ82)</f>
        <v>0</v>
      </c>
      <c r="G45" s="90">
        <f>'Lon pæd., TAP mm'!BZ57+'Lon pæd., TAP mm'!BZ86+SUM('Lon pæd., TAP mm'!BY84:BZ84)</f>
        <v>0</v>
      </c>
      <c r="H45" s="386">
        <f t="shared" si="0"/>
        <v>0</v>
      </c>
      <c r="I45" s="893"/>
    </row>
    <row r="46" spans="1:13" ht="16" customHeight="1">
      <c r="A46" s="2684"/>
      <c r="B46" s="2685"/>
      <c r="C46" s="159" t="s">
        <v>272</v>
      </c>
      <c r="D46" s="385"/>
      <c r="E46" s="1245"/>
      <c r="F46" s="89">
        <f>'Lon pæd., TAP mm'!BZ71</f>
        <v>0</v>
      </c>
      <c r="G46" s="90">
        <f>SUM('Lon pæd., TAP mm'!BN70:BZ70)</f>
        <v>0</v>
      </c>
      <c r="H46" s="386">
        <f t="shared" si="0"/>
        <v>0</v>
      </c>
      <c r="I46" s="893"/>
    </row>
    <row r="47" spans="1:13" ht="16" customHeight="1">
      <c r="A47" s="2686"/>
      <c r="B47" s="2687"/>
      <c r="C47" s="160" t="s">
        <v>202</v>
      </c>
      <c r="D47" s="385"/>
      <c r="E47" s="385"/>
      <c r="F47" s="89">
        <f>Ejendom!E17</f>
        <v>0</v>
      </c>
      <c r="G47" s="90">
        <f>IF(F47="","",(F47+Ejendom!F9+Ejendom!F16)*(1+fremskrivning))</f>
        <v>0</v>
      </c>
      <c r="H47" s="386">
        <f t="shared" si="0"/>
        <v>0</v>
      </c>
      <c r="I47" s="893"/>
    </row>
    <row r="48" spans="1:13" ht="16" customHeight="1">
      <c r="A48" s="2686"/>
      <c r="B48" s="2687"/>
      <c r="C48" s="160" t="s">
        <v>999</v>
      </c>
      <c r="D48" s="385"/>
      <c r="E48" s="1245"/>
      <c r="F48" s="89">
        <f>Ejendom!E33</f>
        <v>0</v>
      </c>
      <c r="G48" s="90">
        <f>IF(F48="","",(F48+Ejendom!F25+Ejendom!F32)*(1+fremskrivning))</f>
        <v>0</v>
      </c>
      <c r="H48" s="386">
        <f t="shared" si="0"/>
        <v>0</v>
      </c>
      <c r="I48" s="893"/>
    </row>
    <row r="49" spans="1:13" ht="16" customHeight="1">
      <c r="A49" s="2686"/>
      <c r="B49" s="2687"/>
      <c r="C49" s="160" t="s">
        <v>233</v>
      </c>
      <c r="D49" s="385"/>
      <c r="E49" s="1245"/>
      <c r="F49" s="89">
        <f>Ejendom!E56</f>
        <v>0</v>
      </c>
      <c r="G49" s="90">
        <f>IF(F49="","",(F49+Ejendom!F38+Ejendom!F42+Ejendom!F46+Ejendom!F55)*(1+fremskrivning))</f>
        <v>0</v>
      </c>
      <c r="H49" s="386">
        <f t="shared" si="0"/>
        <v>0</v>
      </c>
      <c r="I49" s="893"/>
    </row>
    <row r="50" spans="1:13" ht="16" customHeight="1">
      <c r="A50" s="2686"/>
      <c r="B50" s="2687"/>
      <c r="C50" s="160" t="s">
        <v>234</v>
      </c>
      <c r="D50" s="385"/>
      <c r="E50" s="1245"/>
      <c r="F50" s="89">
        <f>Ejendom!E65</f>
        <v>0</v>
      </c>
      <c r="G50" s="90">
        <f>IF(F50="","",(F50+Ejendom!F65)*(1+fremskrivning))</f>
        <v>0</v>
      </c>
      <c r="H50" s="386">
        <f t="shared" si="0"/>
        <v>0</v>
      </c>
      <c r="I50" s="893"/>
    </row>
    <row r="51" spans="1:13" ht="16" customHeight="1">
      <c r="A51" s="2686"/>
      <c r="B51" s="2687"/>
      <c r="C51" s="161" t="s">
        <v>182</v>
      </c>
      <c r="D51" s="385"/>
      <c r="E51" s="1245"/>
      <c r="F51" s="89">
        <f>Ejendom!E89</f>
        <v>0</v>
      </c>
      <c r="G51" s="90">
        <f>IF(F51="","",(F51+Ejendom!F71+Ejendom!F76+Ejendom!F81+Ejendom!F88)*(1+fremskrivning))</f>
        <v>0</v>
      </c>
      <c r="H51" s="386">
        <f t="shared" si="0"/>
        <v>0</v>
      </c>
      <c r="I51" s="893"/>
    </row>
    <row r="52" spans="1:13" ht="16" customHeight="1" thickBot="1">
      <c r="A52" s="2686"/>
      <c r="B52" s="2687"/>
      <c r="C52" s="162" t="s">
        <v>1000</v>
      </c>
      <c r="D52" s="446"/>
      <c r="E52" s="1245"/>
      <c r="F52" s="185">
        <f>Ejendom!E97</f>
        <v>0</v>
      </c>
      <c r="G52" s="90">
        <f>F52+Ejendom!F97</f>
        <v>0</v>
      </c>
      <c r="H52" s="389">
        <f t="shared" si="0"/>
        <v>0</v>
      </c>
      <c r="I52" s="893"/>
    </row>
    <row r="53" spans="1:13" ht="16" customHeight="1" thickBot="1">
      <c r="A53" s="2688"/>
      <c r="B53" s="2689"/>
      <c r="C53" s="180" t="s">
        <v>176</v>
      </c>
      <c r="D53" s="182">
        <f>SUM(D45:D52)</f>
        <v>0</v>
      </c>
      <c r="E53" s="182">
        <f>SUM(E45:E52)</f>
        <v>0</v>
      </c>
      <c r="F53" s="182">
        <f>SUM(F45:F52)</f>
        <v>0</v>
      </c>
      <c r="G53" s="182">
        <f>SUM(G45:G52)</f>
        <v>0</v>
      </c>
      <c r="H53" s="183">
        <f t="shared" si="0"/>
        <v>0</v>
      </c>
      <c r="I53" s="893"/>
    </row>
    <row r="54" spans="1:13" ht="16" customHeight="1" thickBot="1">
      <c r="A54" s="781"/>
      <c r="B54" s="126"/>
      <c r="C54" s="2672" t="s">
        <v>973</v>
      </c>
      <c r="D54" s="2674"/>
      <c r="E54" s="2674"/>
      <c r="F54" s="2674"/>
      <c r="G54" s="2674"/>
      <c r="H54" s="2675"/>
      <c r="I54" s="893"/>
      <c r="M54" s="10"/>
    </row>
    <row r="55" spans="1:13" ht="16" customHeight="1">
      <c r="A55" s="781"/>
      <c r="B55" s="126"/>
      <c r="C55" s="160" t="s">
        <v>1078</v>
      </c>
      <c r="D55" s="385"/>
      <c r="E55" s="385"/>
      <c r="F55" s="92">
        <f>'Lon pæd., TAP mm'!CG85+'Lon pæd., TAP mm'!CG56+SUM('Lon pæd., TAP mm'!CF82:CG82)</f>
        <v>0</v>
      </c>
      <c r="G55" s="455">
        <f>'Lon pæd., TAP mm'!CG57+'Lon pæd., TAP mm'!CG86+SUM('Lon pæd., TAP mm'!CF84:CG84)</f>
        <v>0</v>
      </c>
      <c r="H55" s="386">
        <f t="shared" si="0"/>
        <v>0</v>
      </c>
      <c r="I55" s="893"/>
      <c r="M55" s="10"/>
    </row>
    <row r="56" spans="1:13" ht="16" customHeight="1">
      <c r="A56" s="2686"/>
      <c r="B56" s="2687"/>
      <c r="C56" s="160" t="s">
        <v>164</v>
      </c>
      <c r="D56" s="385"/>
      <c r="E56" s="385"/>
      <c r="F56" s="92">
        <f>'Lon pæd., TAP mm'!CG71</f>
        <v>0</v>
      </c>
      <c r="G56" s="455">
        <f>SUM('Lon pæd., TAP mm'!CA70:CG70)</f>
        <v>0</v>
      </c>
      <c r="H56" s="386">
        <f t="shared" si="0"/>
        <v>0</v>
      </c>
      <c r="I56" s="893"/>
    </row>
    <row r="57" spans="1:13" ht="16" customHeight="1">
      <c r="A57" s="2686"/>
      <c r="B57" s="2687"/>
      <c r="C57" s="163" t="s">
        <v>165</v>
      </c>
      <c r="D57" s="782"/>
      <c r="E57" s="382"/>
      <c r="F57" s="92">
        <f>Skolemadsordning!E40</f>
        <v>0</v>
      </c>
      <c r="G57" s="455">
        <f>(F57+Skolemadsordning!F46-SUM(Skolemadsordning!F43:F44))*1.025</f>
        <v>0</v>
      </c>
      <c r="H57" s="386">
        <f t="shared" si="0"/>
        <v>0</v>
      </c>
    </row>
    <row r="58" spans="1:13" ht="16" customHeight="1" thickBot="1">
      <c r="A58" s="2686"/>
      <c r="B58" s="2687"/>
      <c r="C58" s="163" t="s">
        <v>167</v>
      </c>
      <c r="D58" s="783"/>
      <c r="E58" s="383"/>
      <c r="F58" s="456">
        <f>Skolemadsordning!E45</f>
        <v>0</v>
      </c>
      <c r="G58" s="455">
        <f>(F58+SUM(Skolemadsordning!F43:F44))</f>
        <v>0</v>
      </c>
      <c r="H58" s="386">
        <f t="shared" si="0"/>
        <v>0</v>
      </c>
    </row>
    <row r="59" spans="1:13" ht="16" customHeight="1" thickBot="1">
      <c r="A59" s="2688"/>
      <c r="B59" s="2689"/>
      <c r="C59" s="180" t="s">
        <v>186</v>
      </c>
      <c r="D59" s="187">
        <f>SUM(D54:D58)</f>
        <v>0</v>
      </c>
      <c r="E59" s="187">
        <f>SUM(E54:E58)</f>
        <v>0</v>
      </c>
      <c r="F59" s="187">
        <f>SUM(F54:F58)</f>
        <v>0</v>
      </c>
      <c r="G59" s="187">
        <f>SUM(G54:G58)</f>
        <v>0</v>
      </c>
      <c r="H59" s="188">
        <f t="shared" si="0"/>
        <v>0</v>
      </c>
    </row>
    <row r="60" spans="1:13" ht="16" customHeight="1" thickBot="1">
      <c r="A60" s="781"/>
      <c r="B60" s="126"/>
      <c r="C60" s="2672" t="s">
        <v>974</v>
      </c>
      <c r="D60" s="2674"/>
      <c r="E60" s="2674"/>
      <c r="F60" s="2674"/>
      <c r="G60" s="2674"/>
      <c r="H60" s="2675"/>
      <c r="M60" s="10"/>
    </row>
    <row r="61" spans="1:13" ht="16" customHeight="1">
      <c r="A61" s="2686"/>
      <c r="B61" s="2687"/>
      <c r="C61" s="184" t="s">
        <v>1079</v>
      </c>
      <c r="D61" s="447"/>
      <c r="E61" s="1245"/>
      <c r="F61" s="88">
        <f>'Lon pæd., TAP mm'!BM85+'Lon pæd., TAP mm'!BM56+SUM('Lon pæd., TAP mm'!BL82:BM82)</f>
        <v>0</v>
      </c>
      <c r="G61" s="90">
        <f>'Lon pæd., TAP mm'!BM57+'Lon pæd., TAP mm'!BM86+SUM('Lon pæd., TAP mm'!BL84:BM84)</f>
        <v>0</v>
      </c>
      <c r="H61" s="386">
        <f t="shared" si="0"/>
        <v>0</v>
      </c>
    </row>
    <row r="62" spans="1:13" ht="16" customHeight="1">
      <c r="A62" s="2686"/>
      <c r="B62" s="2687"/>
      <c r="C62" s="159" t="s">
        <v>286</v>
      </c>
      <c r="D62" s="385"/>
      <c r="E62" s="385"/>
      <c r="F62" s="91">
        <f>'Lon pæd., TAP mm'!BM71</f>
        <v>0</v>
      </c>
      <c r="G62" s="90">
        <f>SUM('Lon pæd., TAP mm'!BH70:BM70)</f>
        <v>0</v>
      </c>
      <c r="H62" s="386">
        <f t="shared" si="0"/>
        <v>0</v>
      </c>
    </row>
    <row r="63" spans="1:13" ht="16" customHeight="1">
      <c r="A63" s="2686"/>
      <c r="B63" s="2687"/>
      <c r="C63" s="160" t="s">
        <v>1024</v>
      </c>
      <c r="D63" s="385"/>
      <c r="E63" s="1245"/>
      <c r="F63" s="89">
        <f>Administration!F123</f>
        <v>18761.605</v>
      </c>
      <c r="G63" s="156">
        <f>IF(F63="","",((F63+Administration!F124)*(1+fremskrivning)))</f>
        <v>8424.5</v>
      </c>
      <c r="H63" s="386">
        <f t="shared" si="0"/>
        <v>0</v>
      </c>
    </row>
    <row r="64" spans="1:13" ht="16" customHeight="1" thickBot="1">
      <c r="A64" s="2686"/>
      <c r="B64" s="2687"/>
      <c r="C64" s="163" t="s">
        <v>1039</v>
      </c>
      <c r="D64" s="783"/>
      <c r="E64" s="383"/>
      <c r="F64" s="456">
        <f>Administration!E113</f>
        <v>0</v>
      </c>
      <c r="G64" s="455">
        <f>(F64+Administration!F125)</f>
        <v>0</v>
      </c>
      <c r="H64" s="386">
        <f>IF($F$4=0,0,F64/((($E$4*7)+($F$4*5))/12))</f>
        <v>0</v>
      </c>
    </row>
    <row r="65" spans="1:8" ht="16" customHeight="1" thickBot="1">
      <c r="A65" s="189"/>
      <c r="B65" s="85"/>
      <c r="C65" s="180" t="s">
        <v>975</v>
      </c>
      <c r="D65" s="181">
        <f>SUM(D61:D64)</f>
        <v>0</v>
      </c>
      <c r="E65" s="181">
        <f>SUM(E61:E64)</f>
        <v>0</v>
      </c>
      <c r="F65" s="181">
        <f>SUM(F61:F64)</f>
        <v>18761.605</v>
      </c>
      <c r="G65" s="182">
        <f>SUM(G61:G64)</f>
        <v>8424.5</v>
      </c>
      <c r="H65" s="183">
        <f t="shared" si="0"/>
        <v>0</v>
      </c>
    </row>
    <row r="66" spans="1:8" ht="16" customHeight="1" thickBot="1">
      <c r="A66" s="189"/>
      <c r="B66" s="85"/>
      <c r="C66" s="180" t="s">
        <v>976</v>
      </c>
      <c r="D66" s="182">
        <f>D65+D59+D53+D43</f>
        <v>0</v>
      </c>
      <c r="E66" s="182">
        <f>E43+E53+E59+E65</f>
        <v>0</v>
      </c>
      <c r="F66" s="182" t="e" vm="1">
        <f>F43+F53+F59+F65</f>
        <v>#VALUE!</v>
      </c>
      <c r="G66" s="182" t="e" vm="1">
        <f>G43+G53+G59+G65</f>
        <v>#VALUE!</v>
      </c>
      <c r="H66" s="459">
        <f>H43+H53+H59+H65</f>
        <v>0</v>
      </c>
    </row>
    <row r="67" spans="1:8" ht="16" customHeight="1">
      <c r="A67" s="189"/>
      <c r="B67" s="85"/>
      <c r="C67" s="190" t="s">
        <v>977</v>
      </c>
      <c r="D67" s="181">
        <f>D29-D66</f>
        <v>0</v>
      </c>
      <c r="E67" s="181">
        <f>E29-E66</f>
        <v>0</v>
      </c>
      <c r="F67" s="181" t="e" vm="1">
        <f>F29-F66</f>
        <v>#VALUE!</v>
      </c>
      <c r="G67" s="181" t="e" vm="1">
        <f>G29-G66</f>
        <v>#VALUE!</v>
      </c>
      <c r="H67" s="191">
        <f>IF($F$4=0,0,F67/((($E$4*7)+($F$4*5))/12))</f>
        <v>0</v>
      </c>
    </row>
    <row r="68" spans="1:8">
      <c r="A68" s="192"/>
      <c r="B68" s="460"/>
      <c r="C68" s="461"/>
      <c r="D68" s="457"/>
      <c r="E68" s="457"/>
      <c r="F68" s="457"/>
      <c r="G68" s="457"/>
      <c r="H68" s="153"/>
    </row>
    <row r="69" spans="1:8" ht="14" thickBot="1">
      <c r="A69" s="192"/>
      <c r="B69" s="460"/>
      <c r="C69" s="462" t="s">
        <v>206</v>
      </c>
      <c r="D69" s="193"/>
      <c r="E69" s="193"/>
      <c r="F69" s="193"/>
      <c r="G69" s="193"/>
      <c r="H69" s="194"/>
    </row>
    <row r="70" spans="1:8" ht="16" customHeight="1">
      <c r="A70" s="192"/>
      <c r="B70" s="126"/>
      <c r="C70" s="159" t="s">
        <v>207</v>
      </c>
      <c r="D70" s="384"/>
      <c r="E70" s="384"/>
      <c r="F70" s="91">
        <f>IF(Administration!E129=0,0,Administration!E129+Administration!E130)</f>
        <v>0</v>
      </c>
      <c r="G70" s="2214">
        <f>IF(F70&gt;0,(F70+Administration!F129+Administration!F130),0)</f>
        <v>0</v>
      </c>
      <c r="H70" s="390">
        <f t="shared" ref="H70:H83" si="1">IF($F$4=0,0,F70/((($E$4*7)+($F$4*5))/12))</f>
        <v>0</v>
      </c>
    </row>
    <row r="71" spans="1:8" ht="16" customHeight="1">
      <c r="A71" s="192"/>
      <c r="B71" s="126"/>
      <c r="C71" s="160" t="s">
        <v>230</v>
      </c>
      <c r="D71" s="385"/>
      <c r="E71" s="385"/>
      <c r="F71" s="89">
        <f>IF(Administration!E131=0,0,Administration!E131)</f>
        <v>0</v>
      </c>
      <c r="G71" s="89">
        <f>IF(F71&gt;0,F71+Administration!F131,0)</f>
        <v>0</v>
      </c>
      <c r="H71" s="390">
        <f t="shared" si="1"/>
        <v>0</v>
      </c>
    </row>
    <row r="72" spans="1:8" ht="16" customHeight="1" thickBot="1">
      <c r="A72" s="192"/>
      <c r="B72" s="126"/>
      <c r="C72" s="162" t="s">
        <v>218</v>
      </c>
      <c r="D72" s="445"/>
      <c r="E72" s="445"/>
      <c r="F72" s="158">
        <f>IF(Administration!E132=0,0,Administration!E132)</f>
        <v>0</v>
      </c>
      <c r="G72" s="158">
        <f>IF(F72&gt;0,F72+Administration!F132,0)</f>
        <v>0</v>
      </c>
      <c r="H72" s="391">
        <f t="shared" si="1"/>
        <v>0</v>
      </c>
    </row>
    <row r="73" spans="1:8" ht="16" customHeight="1" thickBot="1">
      <c r="A73" s="189"/>
      <c r="B73" s="85"/>
      <c r="C73" s="190" t="s">
        <v>978</v>
      </c>
      <c r="D73" s="195">
        <f>SUM(D70:D72)</f>
        <v>0</v>
      </c>
      <c r="E73" s="195">
        <f>SUM(E70:E72)</f>
        <v>0</v>
      </c>
      <c r="F73" s="195">
        <f>SUM(F70:F72)</f>
        <v>0</v>
      </c>
      <c r="G73" s="196">
        <f>SUM(G70:G72)</f>
        <v>0</v>
      </c>
      <c r="H73" s="197">
        <f t="shared" si="1"/>
        <v>0</v>
      </c>
    </row>
    <row r="74" spans="1:8" ht="16" customHeight="1">
      <c r="A74" s="192"/>
      <c r="B74" s="126"/>
      <c r="C74" s="184" t="s">
        <v>840</v>
      </c>
      <c r="D74" s="1171"/>
      <c r="E74" s="1245"/>
      <c r="F74" s="198">
        <f>Administration!E139</f>
        <v>0</v>
      </c>
      <c r="G74" s="2212">
        <f>IF(F74&gt;0,F74+SUM(Administration!F135:F138),0)</f>
        <v>0</v>
      </c>
      <c r="H74" s="392">
        <f t="shared" si="1"/>
        <v>0</v>
      </c>
    </row>
    <row r="75" spans="1:8" ht="16" customHeight="1">
      <c r="A75" s="192"/>
      <c r="B75" s="126"/>
      <c r="C75" s="160" t="s">
        <v>841</v>
      </c>
      <c r="D75" s="1172"/>
      <c r="E75" s="1245"/>
      <c r="F75" s="92">
        <f>Administration!E143+Administration!E147</f>
        <v>0</v>
      </c>
      <c r="G75" s="2213">
        <f>IF(F75&gt;0,F75+SUM(Administration!F141:F142)+SUM(Administration!F145:F146),0)</f>
        <v>0</v>
      </c>
      <c r="H75" s="393">
        <f t="shared" si="1"/>
        <v>0</v>
      </c>
    </row>
    <row r="76" spans="1:8" ht="16" customHeight="1" thickBot="1">
      <c r="A76" s="192"/>
      <c r="B76" s="126"/>
      <c r="C76" s="162" t="s">
        <v>842</v>
      </c>
      <c r="D76" s="1173"/>
      <c r="E76" s="1245"/>
      <c r="F76" s="158">
        <f>Administration!E151</f>
        <v>0</v>
      </c>
      <c r="G76" s="2213">
        <f>IF(F76&gt;0,F76+SUM(Administration!F149:F150),0)</f>
        <v>0</v>
      </c>
      <c r="H76" s="394">
        <f t="shared" si="1"/>
        <v>0</v>
      </c>
    </row>
    <row r="77" spans="1:8" ht="16" customHeight="1" thickBot="1">
      <c r="A77" s="189"/>
      <c r="B77" s="85"/>
      <c r="C77" s="180" t="s">
        <v>979</v>
      </c>
      <c r="D77" s="195">
        <f>SUM(D74:D76)</f>
        <v>0</v>
      </c>
      <c r="E77" s="195">
        <f>SUM(E74:E76)</f>
        <v>0</v>
      </c>
      <c r="F77" s="195">
        <f>SUM(F74:F76)</f>
        <v>0</v>
      </c>
      <c r="G77" s="196">
        <f>SUM(G74:G76)</f>
        <v>0</v>
      </c>
      <c r="H77" s="197">
        <f t="shared" si="1"/>
        <v>0</v>
      </c>
    </row>
    <row r="78" spans="1:8" ht="16" customHeight="1" thickBot="1">
      <c r="A78" s="189"/>
      <c r="B78" s="85"/>
      <c r="C78" s="180" t="s">
        <v>260</v>
      </c>
      <c r="D78" s="199">
        <f>D73-D77</f>
        <v>0</v>
      </c>
      <c r="E78" s="199">
        <f>E73-E77</f>
        <v>0</v>
      </c>
      <c r="F78" s="199">
        <f>F73-F77</f>
        <v>0</v>
      </c>
      <c r="G78" s="200">
        <f>G73-G77</f>
        <v>0</v>
      </c>
      <c r="H78" s="183">
        <f t="shared" si="1"/>
        <v>0</v>
      </c>
    </row>
    <row r="79" spans="1:8" ht="16" customHeight="1" thickBot="1">
      <c r="A79" s="189"/>
      <c r="B79" s="85"/>
      <c r="C79" s="201" t="s">
        <v>261</v>
      </c>
      <c r="D79" s="199">
        <f>D67+D78</f>
        <v>0</v>
      </c>
      <c r="E79" s="199">
        <f>E67+E78</f>
        <v>0</v>
      </c>
      <c r="F79" s="199" t="e" vm="1">
        <f>F67+F78</f>
        <v>#VALUE!</v>
      </c>
      <c r="G79" s="199" t="e" vm="1">
        <f>G67+G78</f>
        <v>#VALUE!</v>
      </c>
      <c r="H79" s="197">
        <f t="shared" si="1"/>
        <v>0</v>
      </c>
    </row>
    <row r="80" spans="1:8" ht="16" customHeight="1">
      <c r="A80" s="192"/>
      <c r="B80" s="126"/>
      <c r="C80" s="184" t="s">
        <v>228</v>
      </c>
      <c r="D80" s="385"/>
      <c r="E80" s="385"/>
      <c r="F80" s="89">
        <f>Administration!E158</f>
        <v>0</v>
      </c>
      <c r="G80" s="89">
        <f>IF(F80&gt;0,F80+SUM(Administration!F156:F157),0)</f>
        <v>0</v>
      </c>
      <c r="H80" s="392">
        <f t="shared" si="1"/>
        <v>0</v>
      </c>
    </row>
    <row r="81" spans="1:8" ht="16" customHeight="1" thickBot="1">
      <c r="A81" s="192"/>
      <c r="B81" s="126"/>
      <c r="C81" s="164" t="s">
        <v>819</v>
      </c>
      <c r="D81" s="385"/>
      <c r="E81" s="385"/>
      <c r="F81" s="89">
        <f>Administration!E163</f>
        <v>0</v>
      </c>
      <c r="G81" s="158">
        <f>IF(F81&gt;0,F81+SUM(Administration!F161:F162),0)</f>
        <v>0</v>
      </c>
      <c r="H81" s="391">
        <f t="shared" si="1"/>
        <v>0</v>
      </c>
    </row>
    <row r="82" spans="1:8" ht="16" customHeight="1" thickBot="1">
      <c r="A82" s="189"/>
      <c r="B82" s="85"/>
      <c r="C82" s="202" t="s">
        <v>205</v>
      </c>
      <c r="D82" s="203">
        <f>D80-D81</f>
        <v>0</v>
      </c>
      <c r="E82" s="203">
        <f>E80-E81</f>
        <v>0</v>
      </c>
      <c r="F82" s="203">
        <f>F80-F81</f>
        <v>0</v>
      </c>
      <c r="G82" s="203">
        <f>G80-G81</f>
        <v>0</v>
      </c>
      <c r="H82" s="204">
        <f t="shared" si="1"/>
        <v>0</v>
      </c>
    </row>
    <row r="83" spans="1:8" ht="16" customHeight="1" thickBot="1">
      <c r="A83" s="189"/>
      <c r="B83" s="85"/>
      <c r="C83" s="165" t="s">
        <v>249</v>
      </c>
      <c r="D83" s="205">
        <f>D79+D82</f>
        <v>0</v>
      </c>
      <c r="E83" s="205">
        <f>E79+E82</f>
        <v>0</v>
      </c>
      <c r="F83" s="205" t="e" vm="1">
        <f>F79+F82</f>
        <v>#VALUE!</v>
      </c>
      <c r="G83" s="199" t="e" vm="1">
        <f>G79+G82</f>
        <v>#VALUE!</v>
      </c>
      <c r="H83" s="183">
        <f t="shared" si="1"/>
        <v>0</v>
      </c>
    </row>
    <row r="84" spans="1:8" ht="16" customHeight="1" thickBot="1">
      <c r="A84" s="206"/>
      <c r="B84" s="207"/>
      <c r="C84" s="208" t="s">
        <v>177</v>
      </c>
      <c r="D84" s="209"/>
      <c r="E84" s="209"/>
      <c r="F84" s="209" t="e" vm="1">
        <f>D133</f>
        <v>#VALUE!</v>
      </c>
      <c r="G84" s="209" t="e" vm="1">
        <f>E133</f>
        <v>#VALUE!</v>
      </c>
      <c r="H84" s="166"/>
    </row>
    <row r="85" spans="1:8" ht="16" customHeight="1" thickBot="1">
      <c r="A85" s="210"/>
      <c r="B85" s="83"/>
      <c r="C85" s="800" t="s">
        <v>865</v>
      </c>
      <c r="D85" s="167"/>
      <c r="E85" s="167"/>
      <c r="F85" s="167"/>
      <c r="G85" s="168"/>
      <c r="H85" s="169"/>
    </row>
    <row r="86" spans="1:8" ht="16" customHeight="1">
      <c r="A86" s="210"/>
      <c r="B86" s="84"/>
      <c r="C86" s="184" t="s">
        <v>273</v>
      </c>
      <c r="D86" s="385"/>
      <c r="E86" s="385"/>
      <c r="F86" s="89">
        <f>IF(E86=0,0,E86-Ejendom!E97)</f>
        <v>0</v>
      </c>
      <c r="G86" s="198">
        <f>IF(F86=0,0,F86-(Ejendom!E97))</f>
        <v>0</v>
      </c>
      <c r="H86" s="390">
        <f t="shared" ref="H86:H102" si="2">IF($F$4=0,0,F86/((($E$4*7)+($F$4*5))/12))</f>
        <v>0</v>
      </c>
    </row>
    <row r="87" spans="1:8" ht="16" customHeight="1">
      <c r="A87" s="210"/>
      <c r="B87" s="84"/>
      <c r="C87" s="160" t="s">
        <v>270</v>
      </c>
      <c r="D87" s="385"/>
      <c r="E87" s="385"/>
      <c r="F87" s="89">
        <f>MAX(0,IF(E87=0,0,E87+IF('Undervisning-SFO udgifter'!E66&gt;17500,,'Undervisning-SFO udgifter'!E66)-'Undervisning-SFO udgifter'!F79))</f>
        <v>0</v>
      </c>
      <c r="G87" s="89">
        <f>IF(F87=0,0,MAX((F87-'Undervisning-SFO udgifter'!F79),0))</f>
        <v>0</v>
      </c>
      <c r="H87" s="390">
        <f t="shared" si="2"/>
        <v>0</v>
      </c>
    </row>
    <row r="88" spans="1:8" ht="16" customHeight="1">
      <c r="A88" s="210"/>
      <c r="B88" s="84"/>
      <c r="C88" s="160" t="s">
        <v>277</v>
      </c>
      <c r="D88" s="385"/>
      <c r="E88" s="385"/>
      <c r="F88" s="89">
        <f>MAX(0,IF(E88=0,0,E88-Administration!F113))</f>
        <v>0</v>
      </c>
      <c r="G88" s="89">
        <f>IF(F88=0,0,F88-Administration!F113)</f>
        <v>0</v>
      </c>
      <c r="H88" s="390">
        <f t="shared" si="2"/>
        <v>0</v>
      </c>
    </row>
    <row r="89" spans="1:8" ht="16" customHeight="1">
      <c r="A89" s="210"/>
      <c r="B89" s="84"/>
      <c r="C89" s="160" t="s">
        <v>278</v>
      </c>
      <c r="D89" s="385"/>
      <c r="E89" s="385"/>
      <c r="F89" s="385"/>
      <c r="G89" s="385"/>
      <c r="H89" s="390">
        <f t="shared" si="2"/>
        <v>0</v>
      </c>
    </row>
    <row r="90" spans="1:8" ht="16" customHeight="1">
      <c r="A90" s="210"/>
      <c r="B90" s="84"/>
      <c r="C90" s="160" t="s">
        <v>279</v>
      </c>
      <c r="D90" s="385"/>
      <c r="E90" s="385"/>
      <c r="F90" s="385"/>
      <c r="G90" s="385"/>
      <c r="H90" s="390">
        <f t="shared" si="2"/>
        <v>0</v>
      </c>
    </row>
    <row r="91" spans="1:8" ht="16" customHeight="1" thickBot="1">
      <c r="A91" s="210"/>
      <c r="B91" s="84"/>
      <c r="C91" s="162" t="s">
        <v>209</v>
      </c>
      <c r="D91" s="448"/>
      <c r="E91" s="448"/>
      <c r="F91" s="448"/>
      <c r="G91" s="448"/>
      <c r="H91" s="395">
        <f t="shared" si="2"/>
        <v>0</v>
      </c>
    </row>
    <row r="92" spans="1:8" ht="16" customHeight="1" thickBot="1">
      <c r="A92" s="210"/>
      <c r="B92" s="84"/>
      <c r="C92" s="211" t="s">
        <v>210</v>
      </c>
      <c r="D92" s="187">
        <f>SUM(D86:D91)</f>
        <v>0</v>
      </c>
      <c r="E92" s="187">
        <f>SUM(E86:E91)</f>
        <v>0</v>
      </c>
      <c r="F92" s="187">
        <f>SUM(F86:F91)</f>
        <v>0</v>
      </c>
      <c r="G92" s="187">
        <f>SUM(G86:G91)</f>
        <v>0</v>
      </c>
      <c r="H92" s="170">
        <f t="shared" si="2"/>
        <v>0</v>
      </c>
    </row>
    <row r="93" spans="1:8" ht="16" customHeight="1">
      <c r="A93" s="210"/>
      <c r="B93" s="84"/>
      <c r="C93" s="184" t="s">
        <v>265</v>
      </c>
      <c r="D93" s="384"/>
      <c r="E93" s="384"/>
      <c r="F93" s="384"/>
      <c r="G93" s="91">
        <f>+F93</f>
        <v>0</v>
      </c>
      <c r="H93" s="392">
        <f t="shared" si="2"/>
        <v>0</v>
      </c>
    </row>
    <row r="94" spans="1:8" ht="16" customHeight="1">
      <c r="A94" s="210"/>
      <c r="B94" s="84"/>
      <c r="C94" s="160" t="s">
        <v>266</v>
      </c>
      <c r="D94" s="385"/>
      <c r="E94" s="385"/>
      <c r="F94" s="385"/>
      <c r="G94" s="89">
        <f>+F94</f>
        <v>0</v>
      </c>
      <c r="H94" s="390">
        <f t="shared" si="2"/>
        <v>0</v>
      </c>
    </row>
    <row r="95" spans="1:8" ht="16" customHeight="1">
      <c r="A95" s="210"/>
      <c r="B95" s="84"/>
      <c r="C95" s="160" t="s">
        <v>267</v>
      </c>
      <c r="D95" s="385"/>
      <c r="E95" s="385"/>
      <c r="F95" s="385"/>
      <c r="G95" s="89">
        <f>+F95</f>
        <v>0</v>
      </c>
      <c r="H95" s="396">
        <f t="shared" si="2"/>
        <v>0</v>
      </c>
    </row>
    <row r="96" spans="1:8" ht="16" customHeight="1" thickBot="1">
      <c r="A96" s="210"/>
      <c r="B96" s="84"/>
      <c r="C96" s="162" t="s">
        <v>268</v>
      </c>
      <c r="D96" s="449"/>
      <c r="E96" s="449"/>
      <c r="F96" s="449"/>
      <c r="G96" s="89">
        <f>+F96</f>
        <v>0</v>
      </c>
      <c r="H96" s="397">
        <f t="shared" si="2"/>
        <v>0</v>
      </c>
    </row>
    <row r="97" spans="1:8" ht="16" customHeight="1" thickBot="1">
      <c r="A97" s="210"/>
      <c r="B97" s="84"/>
      <c r="C97" s="211" t="s">
        <v>201</v>
      </c>
      <c r="D97" s="182">
        <f>SUM(D93:D96)</f>
        <v>0</v>
      </c>
      <c r="E97" s="182">
        <f>SUM(E93:E96)</f>
        <v>0</v>
      </c>
      <c r="F97" s="182">
        <f>SUM(F93:F96)</f>
        <v>0</v>
      </c>
      <c r="G97" s="182">
        <f>SUM(G93:G96)</f>
        <v>0</v>
      </c>
      <c r="H97" s="186">
        <f t="shared" si="2"/>
        <v>0</v>
      </c>
    </row>
    <row r="98" spans="1:8" ht="16" customHeight="1" thickBot="1">
      <c r="A98" s="210"/>
      <c r="B98" s="84"/>
      <c r="C98" s="211" t="s">
        <v>178</v>
      </c>
      <c r="D98" s="187">
        <f>D97+D92</f>
        <v>0</v>
      </c>
      <c r="E98" s="187">
        <f>E92+E97</f>
        <v>0</v>
      </c>
      <c r="F98" s="187">
        <f>F92+F97</f>
        <v>0</v>
      </c>
      <c r="G98" s="187">
        <f>G92+G97</f>
        <v>0</v>
      </c>
      <c r="H98" s="186">
        <f t="shared" si="2"/>
        <v>0</v>
      </c>
    </row>
    <row r="99" spans="1:8" ht="16" customHeight="1" thickBot="1">
      <c r="A99" s="210"/>
      <c r="B99" s="84"/>
      <c r="C99" s="211" t="s">
        <v>179</v>
      </c>
      <c r="D99" s="458">
        <f>D98-D105</f>
        <v>0</v>
      </c>
      <c r="E99" s="458">
        <f>E98-E105</f>
        <v>0</v>
      </c>
      <c r="F99" s="458" t="e" vm="1">
        <f>F98-F105</f>
        <v>#VALUE!</v>
      </c>
      <c r="G99" s="458" t="e" vm="1">
        <f>G98-G105</f>
        <v>#VALUE!</v>
      </c>
      <c r="H99" s="170">
        <f t="shared" si="2"/>
        <v>0</v>
      </c>
    </row>
    <row r="100" spans="1:8" ht="16" customHeight="1">
      <c r="A100" s="210"/>
      <c r="B100" s="84"/>
      <c r="C100" s="184" t="s">
        <v>180</v>
      </c>
      <c r="D100" s="450"/>
      <c r="E100" s="450"/>
      <c r="F100" s="93">
        <f>IF(E100=0,0,E100-'Prio-renter'!J25)</f>
        <v>0</v>
      </c>
      <c r="G100" s="93">
        <f>IF(F100=0,0,F100-('Prio-renter'!J25*(1+fremskrivning)))</f>
        <v>0</v>
      </c>
      <c r="H100" s="398">
        <f t="shared" si="2"/>
        <v>0</v>
      </c>
    </row>
    <row r="101" spans="1:8" ht="16" customHeight="1">
      <c r="A101" s="210"/>
      <c r="B101" s="84"/>
      <c r="C101" s="160" t="s">
        <v>181</v>
      </c>
      <c r="D101" s="451"/>
      <c r="E101" s="451"/>
      <c r="F101" s="94">
        <f>IF(E101&lt;=0,0,E101+D122)</f>
        <v>0</v>
      </c>
      <c r="G101" s="94">
        <f>F101</f>
        <v>0</v>
      </c>
      <c r="H101" s="399">
        <f t="shared" si="2"/>
        <v>0</v>
      </c>
    </row>
    <row r="102" spans="1:8" ht="16" customHeight="1">
      <c r="A102" s="210"/>
      <c r="B102" s="84"/>
      <c r="C102" s="370" t="s">
        <v>729</v>
      </c>
      <c r="D102" s="451"/>
      <c r="E102" s="451"/>
      <c r="F102" s="94" t="e" vm="1">
        <f>IF((F96)&lt;=0,(E96+E102)-F84,0)</f>
        <v>#VALUE!</v>
      </c>
      <c r="G102" s="94" t="e" vm="1">
        <f>IF((G96)&lt;=0,(F96+F102)-G84,0)</f>
        <v>#VALUE!</v>
      </c>
      <c r="H102" s="399">
        <f t="shared" si="2"/>
        <v>0</v>
      </c>
    </row>
    <row r="103" spans="1:8" ht="16" customHeight="1">
      <c r="A103" s="210"/>
      <c r="B103" s="84"/>
      <c r="C103" s="371" t="s">
        <v>731</v>
      </c>
      <c r="D103" s="452"/>
      <c r="E103" s="452"/>
      <c r="F103" s="452"/>
      <c r="G103" s="454"/>
      <c r="H103" s="400"/>
    </row>
    <row r="104" spans="1:8" ht="16" customHeight="1" thickBot="1">
      <c r="A104" s="212"/>
      <c r="B104" s="84"/>
      <c r="C104" s="372" t="s">
        <v>730</v>
      </c>
      <c r="D104" s="453"/>
      <c r="E104" s="453"/>
      <c r="F104" s="453"/>
      <c r="G104" s="453"/>
      <c r="H104" s="401">
        <f>IF($F$4=0,0,F104/((($E$4*7)+($F$4*5))/12))</f>
        <v>0</v>
      </c>
    </row>
    <row r="105" spans="1:8" ht="16" customHeight="1" thickBot="1">
      <c r="A105" s="212"/>
      <c r="B105" s="84"/>
      <c r="C105" s="211" t="s">
        <v>256</v>
      </c>
      <c r="D105" s="171">
        <f>SUM(D100:D104)</f>
        <v>0</v>
      </c>
      <c r="E105" s="171">
        <f>SUM(E100:E104)</f>
        <v>0</v>
      </c>
      <c r="F105" s="171" t="e" vm="1">
        <f>SUM(F100:F104)</f>
        <v>#VALUE!</v>
      </c>
      <c r="G105" s="171" t="e" vm="1">
        <f>SUM(G100:G104)</f>
        <v>#VALUE!</v>
      </c>
      <c r="H105" s="213">
        <f>IF($F$4=0,0,F105/((($E$4*7)+($F$4*5))/12))</f>
        <v>0</v>
      </c>
    </row>
    <row r="106" spans="1:8" ht="16" customHeight="1" thickBot="1">
      <c r="A106" s="212"/>
      <c r="B106" s="84"/>
      <c r="C106" s="463" t="s">
        <v>257</v>
      </c>
      <c r="D106" s="171">
        <f>D99+D105</f>
        <v>0</v>
      </c>
      <c r="E106" s="171">
        <f>SUM(E99:E104)</f>
        <v>0</v>
      </c>
      <c r="F106" s="171" t="e" vm="1">
        <f>SUM(F99:F104)</f>
        <v>#VALUE!</v>
      </c>
      <c r="G106" s="171" t="e" vm="1">
        <f>SUM(G99:G104)</f>
        <v>#VALUE!</v>
      </c>
      <c r="H106" s="186">
        <f>IF($F$4=0,0,F106/((($E$4*7)+($F$4*5))/12))</f>
        <v>0</v>
      </c>
    </row>
    <row r="107" spans="1:8" ht="16" customHeight="1" thickBot="1">
      <c r="A107" s="212"/>
      <c r="B107" s="84"/>
      <c r="C107" s="464" t="s">
        <v>212</v>
      </c>
      <c r="D107" s="214"/>
      <c r="E107" s="214"/>
      <c r="F107" s="214"/>
      <c r="G107" s="214"/>
      <c r="H107" s="169"/>
    </row>
    <row r="108" spans="1:8" ht="16" customHeight="1" thickBot="1">
      <c r="A108" s="212"/>
      <c r="B108" s="84"/>
      <c r="C108" s="465" t="s">
        <v>718</v>
      </c>
      <c r="D108" s="215">
        <f>D97-D101-D102-D104</f>
        <v>0</v>
      </c>
      <c r="E108" s="215">
        <f>E97-E101-E102-E104</f>
        <v>0</v>
      </c>
      <c r="F108" s="215" t="e" vm="1">
        <f>F97-F101-F102-F104</f>
        <v>#VALUE!</v>
      </c>
      <c r="G108" s="215" t="e" vm="1">
        <f>G97-G101-G102-G104</f>
        <v>#VALUE!</v>
      </c>
      <c r="H108" s="172">
        <f>IF($F$4=0,0,F108/((($E$4*7)+($F$4*5))/12))</f>
        <v>0</v>
      </c>
    </row>
    <row r="109" spans="1:8" ht="16" customHeight="1" thickBot="1">
      <c r="A109" s="212"/>
      <c r="B109" s="84"/>
      <c r="C109" s="466" t="s">
        <v>719</v>
      </c>
      <c r="D109" s="699">
        <f>IF((D101+D102+D104)&lt;&gt;0,D97/(D101+D102+D104),0)*100</f>
        <v>0</v>
      </c>
      <c r="E109" s="699">
        <f>IF((E101+E102+E104)&lt;&gt;0,E97/(E101+E102+E104),0)*100</f>
        <v>0</v>
      </c>
      <c r="F109" s="699" t="e" vm="1">
        <f>IF((F101+F102+F104)&lt;&gt;0,F97/(F101+F102+F104),0)*100</f>
        <v>#VALUE!</v>
      </c>
      <c r="G109" s="699" t="e" vm="1">
        <f>IF((G101+G102+G104)&lt;&gt;0,G97/(G101+G102+G104),0)*100</f>
        <v>#VALUE!</v>
      </c>
      <c r="H109" s="699">
        <f>IF((H101+H102+H104)&lt;&gt;0,H97/(H101+H102+H104),0)*100</f>
        <v>0</v>
      </c>
    </row>
    <row r="110" spans="1:8" ht="16" customHeight="1" thickBot="1">
      <c r="A110" s="216"/>
      <c r="B110" s="217"/>
      <c r="C110" s="218"/>
      <c r="D110" s="218"/>
      <c r="E110" s="218"/>
      <c r="F110" s="218"/>
      <c r="G110" s="218"/>
      <c r="H110" s="467"/>
    </row>
    <row r="111" spans="1:8" ht="14" thickBot="1">
      <c r="A111" s="2682"/>
      <c r="B111" s="2682"/>
      <c r="C111" s="2683"/>
      <c r="D111" s="2683"/>
      <c r="E111" s="2683"/>
      <c r="F111" s="2683"/>
      <c r="G111" s="2683"/>
      <c r="H111" s="2683"/>
    </row>
    <row r="112" spans="1:8" ht="14" thickBot="1">
      <c r="A112" s="2557"/>
      <c r="B112" s="2557"/>
      <c r="C112" s="2182" t="s">
        <v>7</v>
      </c>
      <c r="D112" s="2186">
        <f>budgetår</f>
        <v>2024</v>
      </c>
      <c r="E112" s="2187">
        <f>budgetår+1</f>
        <v>2025</v>
      </c>
    </row>
    <row r="113" spans="1:11" ht="14" thickBot="1">
      <c r="A113" s="2557"/>
      <c r="B113" s="2557"/>
      <c r="C113" s="2429" t="s">
        <v>15</v>
      </c>
      <c r="D113" s="2430" t="e" vm="1">
        <f>F83</f>
        <v>#VALUE!</v>
      </c>
      <c r="E113" s="2431" t="e" vm="1">
        <f>G83</f>
        <v>#VALUE!</v>
      </c>
    </row>
    <row r="114" spans="1:11" ht="14" thickBot="1">
      <c r="A114" s="2557"/>
      <c r="B114" s="2557"/>
      <c r="C114" s="2183" t="s">
        <v>1488</v>
      </c>
      <c r="D114" s="2441">
        <f>'Skolepenge, pasningsordning.'!H96</f>
        <v>0</v>
      </c>
      <c r="E114" s="2442">
        <f>'Skolepenge, pasningsordning.'!I96</f>
        <v>0</v>
      </c>
    </row>
    <row r="115" spans="1:11">
      <c r="A115" s="2557"/>
      <c r="B115" s="2557"/>
      <c r="C115" s="2433" t="s">
        <v>1362</v>
      </c>
      <c r="D115" s="2208">
        <f>'lon undervisning'!AF94+'Lon pæd., TAP mm'!BG85</f>
        <v>0</v>
      </c>
      <c r="E115" s="2209">
        <f>'lon undervisning'!AF96+'Lon pæd., TAP mm'!BG86</f>
        <v>0</v>
      </c>
    </row>
    <row r="116" spans="1:11">
      <c r="A116" s="2557"/>
      <c r="B116" s="2557"/>
      <c r="C116" s="2432" t="s">
        <v>16</v>
      </c>
      <c r="D116" s="2434">
        <f>'Lon pæd., TAP mm'!U85</f>
        <v>0</v>
      </c>
      <c r="E116" s="2435">
        <f>'Lon pæd., TAP mm'!U86</f>
        <v>0</v>
      </c>
    </row>
    <row r="117" spans="1:11">
      <c r="A117" s="2557"/>
      <c r="B117" s="2557"/>
      <c r="C117" s="2432" t="s">
        <v>1363</v>
      </c>
      <c r="D117" s="2434">
        <f>'Lon pæd., TAP mm'!BZ85</f>
        <v>0</v>
      </c>
      <c r="E117" s="2435">
        <f>'Lon pæd., TAP mm'!BZ86</f>
        <v>0</v>
      </c>
    </row>
    <row r="118" spans="1:11">
      <c r="A118" s="2557"/>
      <c r="B118" s="2557"/>
      <c r="C118" s="2432" t="s">
        <v>1364</v>
      </c>
      <c r="D118" s="2434">
        <f>'Lon pæd., TAP mm'!CG85</f>
        <v>0</v>
      </c>
      <c r="E118" s="2435">
        <f>'Lon pæd., TAP mm'!CG86</f>
        <v>0</v>
      </c>
    </row>
    <row r="119" spans="1:11">
      <c r="A119" s="2557"/>
      <c r="B119" s="2557"/>
      <c r="C119" s="2432" t="s">
        <v>1365</v>
      </c>
      <c r="D119" s="2434">
        <f>'Lon pæd., TAP mm'!BM85</f>
        <v>0</v>
      </c>
      <c r="E119" s="2435">
        <f>'Lon pæd., TAP mm'!BM86</f>
        <v>0</v>
      </c>
      <c r="I119" s="5"/>
      <c r="J119" s="11"/>
      <c r="K119" s="5"/>
    </row>
    <row r="120" spans="1:11">
      <c r="A120" s="2557"/>
      <c r="B120" s="2557"/>
      <c r="C120" s="2432" t="s">
        <v>813</v>
      </c>
      <c r="D120" s="2434">
        <f>'Lon pæd., TAP mm'!AI85</f>
        <v>0</v>
      </c>
      <c r="E120" s="2435">
        <f>'Lon pæd., TAP mm'!AI86</f>
        <v>0</v>
      </c>
    </row>
    <row r="121" spans="1:11" ht="14" thickBot="1">
      <c r="A121" s="2557"/>
      <c r="B121" s="2557"/>
      <c r="C121" s="2436" t="s">
        <v>1366</v>
      </c>
      <c r="D121" s="2437">
        <f>'Lon pæd., TAP mm'!AU85</f>
        <v>0</v>
      </c>
      <c r="E121" s="2438">
        <f>'Lon pæd., TAP mm'!AU86</f>
        <v>0</v>
      </c>
    </row>
    <row r="122" spans="1:11" ht="15" customHeight="1" thickBot="1">
      <c r="A122" s="2557"/>
      <c r="B122" s="2557"/>
      <c r="C122" s="2439" t="s">
        <v>35</v>
      </c>
      <c r="D122" s="2188">
        <f>SUM(D115:D121)</f>
        <v>0</v>
      </c>
      <c r="E122" s="2189">
        <f>SUM(E115:E121)</f>
        <v>0</v>
      </c>
    </row>
    <row r="123" spans="1:11" ht="14" thickBot="1">
      <c r="A123" s="2557"/>
      <c r="B123" s="2557"/>
      <c r="C123" s="2183" t="s">
        <v>1367</v>
      </c>
      <c r="D123" s="2184">
        <f>budgetår</f>
        <v>2024</v>
      </c>
      <c r="E123" s="2185">
        <f>budgetår+1</f>
        <v>2025</v>
      </c>
    </row>
    <row r="124" spans="1:11">
      <c r="A124" s="2557"/>
      <c r="B124" s="2557"/>
      <c r="C124" s="2433" t="s">
        <v>36</v>
      </c>
      <c r="D124" s="2208">
        <f>'Undervisning-SFO udgifter'!E79</f>
        <v>0</v>
      </c>
      <c r="E124" s="2209">
        <f>'Undervisning-SFO udgifter'!E79+SUM('Undervisning-SFO udgifter'!F74:F78)</f>
        <v>0</v>
      </c>
    </row>
    <row r="125" spans="1:11">
      <c r="A125" s="2557"/>
      <c r="B125" s="2557"/>
      <c r="C125" s="2432" t="s">
        <v>37</v>
      </c>
      <c r="D125" s="2434">
        <f>'Undervisning-SFO udgifter'!E128</f>
        <v>0</v>
      </c>
      <c r="E125" s="2435">
        <f>'Undervisning-SFO udgifter'!E128+'Undervisning-SFO udgifter'!F128</f>
        <v>0</v>
      </c>
    </row>
    <row r="126" spans="1:11">
      <c r="A126" s="2557"/>
      <c r="B126" s="2557"/>
      <c r="C126" s="2432" t="s">
        <v>1046</v>
      </c>
      <c r="D126" s="2434">
        <f>Daginstitution!E137</f>
        <v>0</v>
      </c>
      <c r="E126" s="2435">
        <f>Daginstitution!E137+SUM(Daginstitution!F134:H136)</f>
        <v>0</v>
      </c>
    </row>
    <row r="127" spans="1:11">
      <c r="A127" s="2557"/>
      <c r="B127" s="2557"/>
      <c r="C127" s="2432" t="s">
        <v>1044</v>
      </c>
      <c r="D127" s="2434">
        <f>Skolemadsordning!E45</f>
        <v>0</v>
      </c>
      <c r="E127" s="2435">
        <f>Skolemadsordning!E45+SUM(Skolemadsordning!F43:F44)</f>
        <v>0</v>
      </c>
    </row>
    <row r="128" spans="1:11">
      <c r="A128" s="2557"/>
      <c r="B128" s="2557"/>
      <c r="C128" s="2432" t="s">
        <v>1000</v>
      </c>
      <c r="D128" s="2434">
        <f>Ejendom!E97</f>
        <v>0</v>
      </c>
      <c r="E128" s="2435">
        <f>Ejendom!E97+Ejendom!F97</f>
        <v>0</v>
      </c>
    </row>
    <row r="129" spans="1:5">
      <c r="A129" s="2557"/>
      <c r="B129" s="2557"/>
      <c r="C129" s="2432" t="s">
        <v>1045</v>
      </c>
      <c r="D129" s="2434">
        <f>Administration!E113</f>
        <v>0</v>
      </c>
      <c r="E129" s="2435">
        <f>Administration!E113+SUM(Administration!F111:F112)</f>
        <v>0</v>
      </c>
    </row>
    <row r="130" spans="1:5" ht="14" thickBot="1">
      <c r="A130" s="2557"/>
      <c r="B130" s="2557"/>
      <c r="C130" s="2436" t="s">
        <v>41</v>
      </c>
      <c r="D130" s="2437">
        <f>Administration!E151</f>
        <v>0</v>
      </c>
      <c r="E130" s="2438">
        <f>Administration!E151+SUM(Administration!F149:F150)</f>
        <v>0</v>
      </c>
    </row>
    <row r="131" spans="1:5" ht="14" thickBot="1">
      <c r="A131" s="2557"/>
      <c r="B131" s="2557"/>
      <c r="C131" s="2183" t="s">
        <v>21</v>
      </c>
      <c r="D131" s="2190">
        <f>SUM(D124:D130)</f>
        <v>0</v>
      </c>
      <c r="E131" s="2189">
        <f>SUM(E124:E130)</f>
        <v>0</v>
      </c>
    </row>
    <row r="132" spans="1:5" ht="14" thickBot="1">
      <c r="A132" s="2557"/>
      <c r="B132" s="2557"/>
      <c r="C132" s="2191" t="s">
        <v>22</v>
      </c>
      <c r="D132" s="2210">
        <f>'Prio-renter'!J25*-1</f>
        <v>0</v>
      </c>
      <c r="E132" s="2211">
        <f>('Prio-renter'!J25+'Prio-renter'!L23+'Prio-renter'!L17+'Prio-renter'!L11+'Prio-renter'!L6)*-1</f>
        <v>0</v>
      </c>
    </row>
    <row r="133" spans="1:5" ht="14" thickBot="1">
      <c r="A133" s="2557"/>
      <c r="B133" s="2557"/>
      <c r="C133" s="2183" t="s">
        <v>23</v>
      </c>
      <c r="D133" s="2192" t="e" vm="1">
        <f>SUM(D113:D132)-D122-D131-D123</f>
        <v>#VALUE!</v>
      </c>
      <c r="E133" s="2440" t="e" vm="1">
        <f>SUM(E113:E132)-E122-E131-E123</f>
        <v>#VALUE!</v>
      </c>
    </row>
    <row r="134" spans="1:5">
      <c r="B134"/>
      <c r="C134"/>
      <c r="D134"/>
    </row>
    <row r="135" spans="1:5">
      <c r="B135"/>
      <c r="C135"/>
      <c r="D135"/>
    </row>
    <row r="136" spans="1:5">
      <c r="B136"/>
      <c r="C136"/>
      <c r="D136"/>
    </row>
    <row r="137" spans="1:5">
      <c r="B137"/>
      <c r="C137"/>
      <c r="D137"/>
    </row>
  </sheetData>
  <sheetProtection sheet="1" formatCells="0" formatColumns="0" formatRows="0"/>
  <mergeCells count="47">
    <mergeCell ref="A64:B64"/>
    <mergeCell ref="A56:B56"/>
    <mergeCell ref="A63:B63"/>
    <mergeCell ref="A57:B57"/>
    <mergeCell ref="A58:B58"/>
    <mergeCell ref="A59:B59"/>
    <mergeCell ref="A61:B61"/>
    <mergeCell ref="A62:B62"/>
    <mergeCell ref="C1:F1"/>
    <mergeCell ref="A18:B18"/>
    <mergeCell ref="A28:B28"/>
    <mergeCell ref="A34:B34"/>
    <mergeCell ref="A37:B37"/>
    <mergeCell ref="A29:B29"/>
    <mergeCell ref="A33:B33"/>
    <mergeCell ref="A4:B6"/>
    <mergeCell ref="A9:B9"/>
    <mergeCell ref="A15:B15"/>
    <mergeCell ref="A16:B16"/>
    <mergeCell ref="A32:B32"/>
    <mergeCell ref="A31:B31"/>
    <mergeCell ref="A35:B35"/>
    <mergeCell ref="A36:B36"/>
    <mergeCell ref="C11:H11"/>
    <mergeCell ref="A8:B8"/>
    <mergeCell ref="A111:B133"/>
    <mergeCell ref="C111:H111"/>
    <mergeCell ref="A46:B46"/>
    <mergeCell ref="A47:B47"/>
    <mergeCell ref="A48:B48"/>
    <mergeCell ref="A49:B49"/>
    <mergeCell ref="A39:B39"/>
    <mergeCell ref="A40:B40"/>
    <mergeCell ref="A43:B43"/>
    <mergeCell ref="A45:B45"/>
    <mergeCell ref="A42:B42"/>
    <mergeCell ref="A50:B50"/>
    <mergeCell ref="A51:B51"/>
    <mergeCell ref="A52:B52"/>
    <mergeCell ref="A53:B53"/>
    <mergeCell ref="F2:F3"/>
    <mergeCell ref="C30:H30"/>
    <mergeCell ref="C44:H44"/>
    <mergeCell ref="C54:H54"/>
    <mergeCell ref="C60:H60"/>
    <mergeCell ref="C14:H14"/>
    <mergeCell ref="C22:H22"/>
  </mergeCells>
  <phoneticPr fontId="55" type="noConversion"/>
  <conditionalFormatting sqref="D67">
    <cfRule type="iconSet" priority="4">
      <iconSet iconSet="3Arrows">
        <cfvo type="percent" val="0"/>
        <cfvo type="num" val="0"/>
        <cfvo type="num" val="50000"/>
      </iconSet>
    </cfRule>
  </conditionalFormatting>
  <conditionalFormatting sqref="D83">
    <cfRule type="iconSet" priority="3">
      <iconSet iconSet="3Arrows">
        <cfvo type="percent" val="0"/>
        <cfvo type="num" val="0"/>
        <cfvo type="num" val="50000"/>
      </iconSet>
    </cfRule>
  </conditionalFormatting>
  <conditionalFormatting sqref="E67:G67">
    <cfRule type="iconSet" priority="8">
      <iconSet iconSet="3Arrows">
        <cfvo type="percent" val="0"/>
        <cfvo type="num" val="0"/>
        <cfvo type="num" val="50000"/>
      </iconSet>
    </cfRule>
  </conditionalFormatting>
  <conditionalFormatting sqref="E83:G83">
    <cfRule type="iconSet" priority="7">
      <iconSet iconSet="3Arrows">
        <cfvo type="percent" val="0"/>
        <cfvo type="num" val="0"/>
        <cfvo type="num" val="50000"/>
      </iconSet>
    </cfRule>
  </conditionalFormatting>
  <dataValidations count="2">
    <dataValidation type="whole" allowBlank="1" showInputMessage="1" showErrorMessage="1" errorTitle="OBS" error="Refusioner tastes som negative beløb" sqref="D32 D38 D56:E56 D62:E62 D34:E34 D36:E36 D46" xr:uid="{00000000-0002-0000-0300-000000000000}">
      <formula1>-5000000000</formula1>
      <formula2>-1</formula2>
    </dataValidation>
    <dataValidation allowBlank="1" showInputMessage="1" showErrorMessage="1" errorTitle="OBS" error="Refusioner tastes som negative beløb" sqref="D55" xr:uid="{00000000-0002-0000-0300-000001000000}"/>
  </dataValidations>
  <printOptions horizontalCentered="1"/>
  <pageMargins left="0.25" right="0.25" top="0.75" bottom="0.75" header="0.3" footer="0.3"/>
  <pageSetup paperSize="9" scale="53" fitToHeight="2" orientation="portrait"/>
  <headerFooter alignWithMargins="0">
    <oddHeader>&amp;C&amp;"Arial,Fed"&amp;12HOVEDSKEMA</oddHeader>
    <oddFooter>&amp;L&amp;G&amp;R
&amp;D
&amp;A</oddFooter>
  </headerFooter>
  <rowBreaks count="1" manualBreakCount="1">
    <brk id="84" max="16383" man="1"/>
  </rowBreaks>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2:I24"/>
  <sheetViews>
    <sheetView workbookViewId="0">
      <selection activeCell="E33" sqref="E33"/>
    </sheetView>
  </sheetViews>
  <sheetFormatPr baseColWidth="10" defaultColWidth="11.5" defaultRowHeight="13"/>
  <sheetData>
    <row r="2" spans="1:9" ht="28">
      <c r="A2" s="701" t="s">
        <v>580</v>
      </c>
      <c r="B2" s="702" t="s">
        <v>581</v>
      </c>
      <c r="C2" s="702" t="s">
        <v>582</v>
      </c>
      <c r="D2" s="702" t="s">
        <v>583</v>
      </c>
      <c r="E2" s="702" t="s">
        <v>584</v>
      </c>
      <c r="F2" s="702" t="s">
        <v>585</v>
      </c>
      <c r="G2" s="702" t="s">
        <v>586</v>
      </c>
      <c r="H2" s="702" t="s">
        <v>587</v>
      </c>
      <c r="I2" s="703" t="s">
        <v>588</v>
      </c>
    </row>
    <row r="3" spans="1:9">
      <c r="A3" s="704" t="s">
        <v>589</v>
      </c>
      <c r="B3" s="705">
        <v>365</v>
      </c>
      <c r="C3" s="705">
        <v>105</v>
      </c>
      <c r="D3" s="705">
        <v>6</v>
      </c>
      <c r="E3" s="706">
        <v>37068</v>
      </c>
      <c r="F3" s="706">
        <v>37467</v>
      </c>
      <c r="G3" s="707">
        <v>25</v>
      </c>
      <c r="H3" s="708">
        <v>229</v>
      </c>
      <c r="I3" s="709">
        <v>1694.6</v>
      </c>
    </row>
    <row r="4" spans="1:9">
      <c r="A4" s="710" t="s">
        <v>590</v>
      </c>
      <c r="B4" s="711">
        <v>365</v>
      </c>
      <c r="C4" s="711">
        <v>104</v>
      </c>
      <c r="D4" s="711">
        <v>7</v>
      </c>
      <c r="E4" s="712">
        <v>37433</v>
      </c>
      <c r="F4" s="712">
        <v>37467</v>
      </c>
      <c r="G4" s="713">
        <v>25</v>
      </c>
      <c r="H4" s="714">
        <v>229</v>
      </c>
      <c r="I4" s="715">
        <v>1687.2</v>
      </c>
    </row>
    <row r="5" spans="1:9">
      <c r="A5" s="710" t="s">
        <v>591</v>
      </c>
      <c r="B5" s="711">
        <v>365</v>
      </c>
      <c r="C5" s="711">
        <v>104</v>
      </c>
      <c r="D5" s="711">
        <v>9</v>
      </c>
      <c r="E5" s="712">
        <v>37803</v>
      </c>
      <c r="F5" s="712">
        <v>37835</v>
      </c>
      <c r="G5" s="713">
        <v>22</v>
      </c>
      <c r="H5" s="714">
        <v>230</v>
      </c>
      <c r="I5" s="715">
        <v>1694.6</v>
      </c>
    </row>
    <row r="6" spans="1:9">
      <c r="A6" s="710" t="s">
        <v>592</v>
      </c>
      <c r="B6" s="711">
        <v>366</v>
      </c>
      <c r="C6" s="711">
        <v>104</v>
      </c>
      <c r="D6" s="711">
        <v>9</v>
      </c>
      <c r="E6" s="712">
        <v>38171</v>
      </c>
      <c r="F6" s="712">
        <v>38205</v>
      </c>
      <c r="G6" s="713">
        <v>23</v>
      </c>
      <c r="H6" s="714">
        <v>230</v>
      </c>
      <c r="I6" s="715">
        <v>1687.2</v>
      </c>
    </row>
    <row r="7" spans="1:9">
      <c r="A7" s="710" t="s">
        <v>593</v>
      </c>
      <c r="B7" s="711">
        <v>365</v>
      </c>
      <c r="C7" s="711">
        <v>104</v>
      </c>
      <c r="D7" s="711">
        <v>9</v>
      </c>
      <c r="E7" s="712">
        <v>38538</v>
      </c>
      <c r="F7" s="712">
        <v>38570</v>
      </c>
      <c r="G7" s="713">
        <v>25</v>
      </c>
      <c r="H7" s="714">
        <v>227</v>
      </c>
      <c r="I7" s="715">
        <v>1672.4</v>
      </c>
    </row>
    <row r="8" spans="1:9">
      <c r="A8" s="710" t="s">
        <v>594</v>
      </c>
      <c r="B8" s="711">
        <v>365</v>
      </c>
      <c r="C8" s="711">
        <v>105</v>
      </c>
      <c r="D8" s="711">
        <v>8</v>
      </c>
      <c r="E8" s="712">
        <v>38902</v>
      </c>
      <c r="F8" s="712">
        <v>38934</v>
      </c>
      <c r="G8" s="713">
        <v>25</v>
      </c>
      <c r="H8" s="714">
        <v>227</v>
      </c>
      <c r="I8" s="715">
        <v>1679.8</v>
      </c>
    </row>
    <row r="9" spans="1:9">
      <c r="A9" s="710" t="s">
        <v>595</v>
      </c>
      <c r="B9" s="711">
        <v>365</v>
      </c>
      <c r="C9" s="711">
        <v>105</v>
      </c>
      <c r="D9" s="711">
        <v>6</v>
      </c>
      <c r="E9" s="712">
        <v>39266</v>
      </c>
      <c r="F9" s="712">
        <v>39298</v>
      </c>
      <c r="G9" s="713">
        <v>25</v>
      </c>
      <c r="H9" s="714">
        <v>229</v>
      </c>
      <c r="I9" s="715">
        <v>1694.6</v>
      </c>
    </row>
    <row r="10" spans="1:9">
      <c r="A10" s="710" t="s">
        <v>596</v>
      </c>
      <c r="B10" s="711">
        <v>366</v>
      </c>
      <c r="C10" s="711">
        <v>104</v>
      </c>
      <c r="D10" s="711">
        <v>7</v>
      </c>
      <c r="E10" s="712">
        <v>39632</v>
      </c>
      <c r="F10" s="712">
        <v>39666</v>
      </c>
      <c r="G10" s="713">
        <v>25</v>
      </c>
      <c r="H10" s="714">
        <v>230</v>
      </c>
      <c r="I10" s="715">
        <v>1687.2</v>
      </c>
    </row>
    <row r="11" spans="1:9">
      <c r="A11" s="710" t="s">
        <v>796</v>
      </c>
      <c r="B11" s="711">
        <v>365</v>
      </c>
      <c r="C11" s="711">
        <v>104</v>
      </c>
      <c r="D11" s="711">
        <v>9</v>
      </c>
      <c r="E11" s="712">
        <v>39997</v>
      </c>
      <c r="F11" s="712">
        <v>40031</v>
      </c>
      <c r="G11" s="713">
        <v>25</v>
      </c>
      <c r="H11" s="714">
        <v>227</v>
      </c>
      <c r="I11" s="715">
        <v>1672.4</v>
      </c>
    </row>
    <row r="12" spans="1:9">
      <c r="A12" s="710" t="s">
        <v>797</v>
      </c>
      <c r="B12" s="711">
        <v>365</v>
      </c>
      <c r="C12" s="711">
        <v>104</v>
      </c>
      <c r="D12" s="711">
        <v>9</v>
      </c>
      <c r="E12" s="712">
        <v>40362</v>
      </c>
      <c r="F12" s="712">
        <v>40396</v>
      </c>
      <c r="G12" s="713">
        <v>25</v>
      </c>
      <c r="H12" s="714">
        <v>227</v>
      </c>
      <c r="I12" s="715">
        <v>1672.4</v>
      </c>
    </row>
    <row r="13" spans="1:9">
      <c r="A13" s="710" t="s">
        <v>798</v>
      </c>
      <c r="B13" s="711">
        <v>365</v>
      </c>
      <c r="C13" s="711">
        <v>104</v>
      </c>
      <c r="D13" s="711">
        <v>9</v>
      </c>
      <c r="E13" s="712">
        <v>40729</v>
      </c>
      <c r="F13" s="712">
        <v>40761</v>
      </c>
      <c r="G13" s="713">
        <v>25</v>
      </c>
      <c r="H13" s="714">
        <v>227</v>
      </c>
      <c r="I13" s="715">
        <v>1679.8</v>
      </c>
    </row>
    <row r="14" spans="1:9">
      <c r="A14" s="710" t="s">
        <v>799</v>
      </c>
      <c r="B14" s="711">
        <v>366</v>
      </c>
      <c r="C14" s="711">
        <v>106</v>
      </c>
      <c r="D14" s="711">
        <v>8</v>
      </c>
      <c r="E14" s="712">
        <v>41093</v>
      </c>
      <c r="F14" s="712">
        <v>41125</v>
      </c>
      <c r="G14" s="713">
        <v>25</v>
      </c>
      <c r="H14" s="714">
        <v>227</v>
      </c>
      <c r="I14" s="715">
        <v>1679.8</v>
      </c>
    </row>
    <row r="15" spans="1:9">
      <c r="A15" s="710" t="s">
        <v>800</v>
      </c>
      <c r="B15" s="711">
        <v>365</v>
      </c>
      <c r="C15" s="711">
        <v>104</v>
      </c>
      <c r="D15" s="711">
        <v>7</v>
      </c>
      <c r="E15" s="712">
        <v>41458</v>
      </c>
      <c r="F15" s="712">
        <v>41492</v>
      </c>
      <c r="G15" s="713">
        <v>25</v>
      </c>
      <c r="H15" s="714">
        <v>229</v>
      </c>
      <c r="I15" s="715">
        <v>1694.6</v>
      </c>
    </row>
    <row r="16" spans="1:9">
      <c r="A16" s="710" t="s">
        <v>801</v>
      </c>
      <c r="B16" s="711">
        <v>365</v>
      </c>
      <c r="C16" s="711">
        <v>104</v>
      </c>
      <c r="D16" s="711">
        <v>9</v>
      </c>
      <c r="E16" s="712">
        <v>41827</v>
      </c>
      <c r="F16" s="712">
        <v>41857</v>
      </c>
      <c r="G16" s="713">
        <v>25</v>
      </c>
      <c r="H16" s="714">
        <v>227</v>
      </c>
      <c r="I16" s="715">
        <v>1679.8</v>
      </c>
    </row>
    <row r="17" spans="1:9">
      <c r="A17" s="710" t="s">
        <v>802</v>
      </c>
      <c r="B17" s="711">
        <v>365</v>
      </c>
      <c r="C17" s="711">
        <v>104</v>
      </c>
      <c r="D17" s="711">
        <v>9</v>
      </c>
      <c r="E17" s="712">
        <v>42188</v>
      </c>
      <c r="F17" s="712">
        <v>42222</v>
      </c>
      <c r="G17" s="713">
        <v>25</v>
      </c>
      <c r="H17" s="714">
        <v>227</v>
      </c>
      <c r="I17" s="715">
        <v>1679.8</v>
      </c>
    </row>
    <row r="18" spans="1:9">
      <c r="A18" s="716" t="s">
        <v>803</v>
      </c>
      <c r="B18" s="717">
        <v>366</v>
      </c>
      <c r="C18" s="717">
        <v>104</v>
      </c>
      <c r="D18" s="717">
        <v>9</v>
      </c>
      <c r="E18" s="718">
        <v>42556</v>
      </c>
      <c r="F18" s="718">
        <v>42588</v>
      </c>
      <c r="G18" s="719">
        <v>25</v>
      </c>
      <c r="H18" s="720">
        <v>228</v>
      </c>
      <c r="I18" s="721">
        <v>1687.2</v>
      </c>
    </row>
    <row r="20" spans="1:9">
      <c r="A20" s="354" t="s">
        <v>613</v>
      </c>
    </row>
    <row r="21" spans="1:9">
      <c r="A21" s="354" t="s">
        <v>614</v>
      </c>
    </row>
    <row r="22" spans="1:9">
      <c r="A22" t="s">
        <v>615</v>
      </c>
    </row>
    <row r="24" spans="1:9">
      <c r="A24" s="381" t="s">
        <v>781</v>
      </c>
    </row>
  </sheetData>
  <sheetProtection sheet="1" objects="1" scenarios="1"/>
  <phoneticPr fontId="55" type="noConversion"/>
  <pageMargins left="0.75000000000000011" right="0.75000000000000011" top="1" bottom="1" header="0.5" footer="0.5"/>
  <pageSetup paperSize="9" scale="82"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tabColor theme="6" tint="0.59999389629810485"/>
    <pageSetUpPr fitToPage="1"/>
  </sheetPr>
  <dimension ref="A1:R131"/>
  <sheetViews>
    <sheetView zoomScale="143" zoomScaleNormal="140" zoomScaleSheetLayoutView="100" workbookViewId="0">
      <selection activeCell="C2" sqref="C2"/>
    </sheetView>
  </sheetViews>
  <sheetFormatPr baseColWidth="10" defaultColWidth="10.83203125" defaultRowHeight="13"/>
  <cols>
    <col min="1" max="1" width="10.83203125" style="12"/>
    <col min="2" max="2" width="13.1640625" style="12" customWidth="1"/>
    <col min="3" max="3" width="13.33203125" style="12" customWidth="1"/>
    <col min="4" max="4" width="11.33203125" style="12" customWidth="1"/>
    <col min="5" max="5" width="14.33203125" style="12" customWidth="1"/>
    <col min="6" max="6" width="10.83203125" style="12"/>
    <col min="7" max="7" width="16.6640625" style="12" customWidth="1"/>
    <col min="8" max="8" width="10.6640625" style="12" customWidth="1"/>
    <col min="9" max="9" width="14.33203125" style="12" customWidth="1"/>
    <col min="10" max="10" width="14" style="12" customWidth="1"/>
    <col min="11" max="11" width="14.1640625" style="12" customWidth="1"/>
    <col min="12" max="16384" width="10.83203125" style="12"/>
  </cols>
  <sheetData>
    <row r="1" spans="1:11" s="140" customFormat="1" ht="27" customHeight="1" thickBot="1"/>
    <row r="2" spans="1:11" ht="23">
      <c r="A2" s="468"/>
      <c r="F2" s="469" t="s">
        <v>1399</v>
      </c>
    </row>
    <row r="3" spans="1:11" ht="6" customHeight="1">
      <c r="F3" s="469"/>
    </row>
    <row r="4" spans="1:11" ht="12" customHeight="1" thickBot="1">
      <c r="F4" s="469"/>
    </row>
    <row r="5" spans="1:11" ht="21" customHeight="1">
      <c r="A5" s="470" t="str">
        <f>"Beregning af driftstilskud for "&amp;budgetår</f>
        <v>Beregning af driftstilskud for 2024</v>
      </c>
      <c r="B5" s="471"/>
      <c r="C5" s="471"/>
      <c r="D5" s="471"/>
      <c r="E5" s="471"/>
      <c r="F5" s="471"/>
      <c r="G5" s="471"/>
      <c r="H5" s="471"/>
      <c r="I5" s="471"/>
      <c r="J5" s="471"/>
      <c r="K5" s="472"/>
    </row>
    <row r="6" spans="1:11" ht="21" customHeight="1">
      <c r="A6" s="473" t="str">
        <f>"Grundtilskud 10.000 kr pr. elev 5/9-"&amp;budgetår-1&amp;" (max 400.000 kr.)"</f>
        <v>Grundtilskud 10.000 kr pr. elev 5/9-2023 (max 400.000 kr.)</v>
      </c>
      <c r="B6" s="474"/>
      <c r="C6" s="474"/>
      <c r="D6" s="474"/>
      <c r="E6" s="474"/>
      <c r="F6" s="474"/>
      <c r="G6" s="475" t="str">
        <f>"("&amp;Grundtilsk_1&amp;" x"&amp;elevtal_1&amp;")"</f>
        <v>(10000 x0)</v>
      </c>
      <c r="H6" s="474"/>
      <c r="I6" s="474"/>
      <c r="J6" s="476"/>
      <c r="K6" s="477">
        <f>MIN(400000,J8*Grundtilsk_1)</f>
        <v>0</v>
      </c>
    </row>
    <row r="7" spans="1:11" ht="6" customHeight="1" thickBot="1">
      <c r="A7" s="478"/>
      <c r="B7" s="127"/>
      <c r="C7" s="127"/>
      <c r="D7" s="127"/>
      <c r="E7" s="127"/>
      <c r="F7" s="127"/>
      <c r="G7" s="479"/>
      <c r="H7" s="127"/>
      <c r="I7" s="127"/>
      <c r="J7" s="480"/>
      <c r="K7" s="481"/>
    </row>
    <row r="8" spans="1:11" ht="18.75" customHeight="1" thickBot="1">
      <c r="A8" s="482" t="s">
        <v>187</v>
      </c>
      <c r="B8" s="480"/>
      <c r="C8" s="480"/>
      <c r="D8" s="480"/>
      <c r="E8" s="480"/>
      <c r="F8" s="480"/>
      <c r="G8" s="480"/>
      <c r="H8" s="480"/>
      <c r="I8" s="483" t="str">
        <f>"Elevtal 5/9- "&amp;budgetår-1</f>
        <v>Elevtal 5/9- 2023</v>
      </c>
      <c r="J8" s="484">
        <f>elevtal_1</f>
        <v>0</v>
      </c>
      <c r="K8" s="485"/>
    </row>
    <row r="9" spans="1:11" ht="4" customHeight="1">
      <c r="A9" s="482"/>
      <c r="B9" s="480"/>
      <c r="C9" s="480"/>
      <c r="D9" s="480"/>
      <c r="E9" s="480"/>
      <c r="F9" s="480"/>
      <c r="G9" s="480"/>
      <c r="H9" s="480"/>
      <c r="I9" s="480"/>
      <c r="J9" s="480"/>
      <c r="K9" s="486"/>
    </row>
    <row r="10" spans="1:11" ht="17" customHeight="1">
      <c r="A10" s="482" t="str">
        <f>"Fordeling af elever 5/9-"&amp;budgetår-1&amp;":"</f>
        <v>Fordeling af elever 5/9-2023:</v>
      </c>
      <c r="B10" s="480"/>
      <c r="C10" s="480"/>
      <c r="D10" s="480"/>
      <c r="E10" s="480"/>
      <c r="F10" s="480"/>
      <c r="G10" s="480"/>
      <c r="H10" s="480"/>
      <c r="I10" s="480"/>
      <c r="J10" s="480"/>
      <c r="K10" s="485"/>
    </row>
    <row r="11" spans="1:11" ht="5" customHeight="1">
      <c r="A11" s="482"/>
      <c r="B11" s="480"/>
      <c r="C11" s="480"/>
      <c r="D11" s="487"/>
      <c r="E11" s="480"/>
      <c r="F11" s="480"/>
      <c r="G11" s="480"/>
      <c r="H11" s="487"/>
      <c r="I11" s="480"/>
      <c r="J11" s="488"/>
      <c r="K11" s="485"/>
    </row>
    <row r="12" spans="1:11" ht="18" customHeight="1">
      <c r="A12" s="489"/>
      <c r="B12" s="490" t="str">
        <f>"Elever pr. 5/9- "&amp;budgetår-1&amp;" : "</f>
        <v xml:space="preserve">Elever pr. 5/9- 2023 : </v>
      </c>
      <c r="C12" s="490" t="s">
        <v>188</v>
      </c>
      <c r="D12" s="491">
        <f>elevu13_1</f>
        <v>0</v>
      </c>
      <c r="E12" s="476"/>
      <c r="F12" s="490" t="s">
        <v>189</v>
      </c>
      <c r="G12" s="491">
        <f>elevo13_1</f>
        <v>0</v>
      </c>
      <c r="H12" s="476"/>
      <c r="I12" s="492" t="s">
        <v>184</v>
      </c>
      <c r="J12" s="491">
        <f>elev10kl_1</f>
        <v>0</v>
      </c>
      <c r="K12" s="493"/>
    </row>
    <row r="13" spans="1:11" ht="6" customHeight="1">
      <c r="A13" s="482"/>
      <c r="B13" s="480"/>
      <c r="C13" s="480"/>
      <c r="D13" s="480"/>
      <c r="E13" s="494"/>
      <c r="F13" s="480"/>
      <c r="G13" s="480"/>
      <c r="H13" s="494"/>
      <c r="I13" s="480"/>
      <c r="J13" s="480"/>
      <c r="K13" s="493"/>
    </row>
    <row r="14" spans="1:11" ht="17" customHeight="1">
      <c r="A14" s="482" t="s">
        <v>185</v>
      </c>
      <c r="B14" s="480"/>
      <c r="C14" s="480"/>
      <c r="D14" s="495"/>
      <c r="E14" s="480"/>
      <c r="F14" s="480"/>
      <c r="G14" s="495"/>
      <c r="H14" s="54"/>
      <c r="I14" s="480"/>
      <c r="J14" s="480"/>
      <c r="K14" s="496"/>
    </row>
    <row r="15" spans="1:11" ht="17" customHeight="1">
      <c r="A15" s="482"/>
      <c r="B15" s="2737"/>
      <c r="C15" s="497" t="s">
        <v>262</v>
      </c>
      <c r="D15" s="498"/>
      <c r="E15" s="498"/>
      <c r="F15" s="499">
        <f>FaeUdgSmaa</f>
        <v>7979</v>
      </c>
      <c r="G15" s="500">
        <f>IF(elevtal_1&gt;220,220,elevtal_1)</f>
        <v>0</v>
      </c>
      <c r="H15" s="476" t="s">
        <v>263</v>
      </c>
      <c r="I15" s="501">
        <f>MIN(J8,220)*F15</f>
        <v>0</v>
      </c>
      <c r="J15" s="502"/>
      <c r="K15" s="485"/>
    </row>
    <row r="16" spans="1:11" ht="18" customHeight="1">
      <c r="A16" s="482"/>
      <c r="B16" s="2737"/>
      <c r="C16" s="497" t="s">
        <v>264</v>
      </c>
      <c r="D16" s="498"/>
      <c r="E16" s="498"/>
      <c r="F16" s="499">
        <f>FaeUdgStore</f>
        <v>3192</v>
      </c>
      <c r="G16" s="500">
        <f>IF(elevtal_1&gt;220,elevtal_1-220,0)</f>
        <v>0</v>
      </c>
      <c r="H16" s="503" t="s">
        <v>263</v>
      </c>
      <c r="I16" s="501">
        <f>MAX(0,J8-220)*F16</f>
        <v>0</v>
      </c>
      <c r="J16" s="501">
        <f>SUM(I15:I16)</f>
        <v>0</v>
      </c>
      <c r="K16" s="485"/>
    </row>
    <row r="17" spans="1:18" ht="5" customHeight="1">
      <c r="A17" s="482"/>
      <c r="B17" s="480"/>
      <c r="C17" s="480"/>
      <c r="D17" s="480"/>
      <c r="E17" s="480"/>
      <c r="F17" s="480"/>
      <c r="G17" s="504"/>
      <c r="H17" s="480"/>
      <c r="I17" s="502"/>
      <c r="J17" s="502"/>
      <c r="K17" s="493"/>
    </row>
    <row r="18" spans="1:18" ht="15.75" customHeight="1">
      <c r="A18" s="482" t="s">
        <v>283</v>
      </c>
      <c r="B18" s="480"/>
      <c r="C18" s="480"/>
      <c r="D18" s="480"/>
      <c r="E18" s="480"/>
      <c r="F18" s="480"/>
      <c r="G18" s="504"/>
      <c r="H18" s="480"/>
      <c r="I18" s="502"/>
      <c r="J18" s="502"/>
      <c r="K18" s="505"/>
    </row>
    <row r="19" spans="1:18" ht="15.75" customHeight="1">
      <c r="A19" s="482"/>
      <c r="B19" s="2723"/>
      <c r="C19" s="2724" t="s">
        <v>732</v>
      </c>
      <c r="D19" s="2725"/>
      <c r="E19" s="2726"/>
      <c r="F19" s="506">
        <f>UvTaxU13</f>
        <v>41840</v>
      </c>
      <c r="G19" s="500">
        <f>elevu13_1</f>
        <v>0</v>
      </c>
      <c r="H19" s="476" t="s">
        <v>263</v>
      </c>
      <c r="I19" s="501">
        <f>F19*D12</f>
        <v>0</v>
      </c>
      <c r="J19" s="502"/>
      <c r="K19" s="485"/>
    </row>
    <row r="20" spans="1:18" ht="15.75" customHeight="1">
      <c r="A20" s="482"/>
      <c r="B20" s="2723"/>
      <c r="C20" s="2720" t="s">
        <v>733</v>
      </c>
      <c r="D20" s="2721"/>
      <c r="E20" s="2722"/>
      <c r="F20" s="499">
        <f>UvTaxO13</f>
        <v>55229</v>
      </c>
      <c r="G20" s="507">
        <f>elevo13_1</f>
        <v>0</v>
      </c>
      <c r="H20" s="503" t="s">
        <v>263</v>
      </c>
      <c r="I20" s="501">
        <f>F20*G12</f>
        <v>0</v>
      </c>
      <c r="J20" s="502"/>
      <c r="K20" s="485"/>
      <c r="R20" s="13"/>
    </row>
    <row r="21" spans="1:18" ht="15.75" customHeight="1">
      <c r="A21" s="482"/>
      <c r="B21" s="2723"/>
      <c r="C21" s="508" t="s">
        <v>734</v>
      </c>
      <c r="D21" s="509"/>
      <c r="E21" s="510"/>
      <c r="F21" s="511">
        <f>UvTax10kl</f>
        <v>54124</v>
      </c>
      <c r="G21" s="512">
        <f>elev10kl_1</f>
        <v>0</v>
      </c>
      <c r="H21" s="503" t="s">
        <v>263</v>
      </c>
      <c r="I21" s="501">
        <f>F21*J12</f>
        <v>0</v>
      </c>
      <c r="J21" s="501">
        <f>SUM(I19:I21)</f>
        <v>0</v>
      </c>
      <c r="K21" s="485"/>
      <c r="R21" s="13"/>
    </row>
    <row r="22" spans="1:18" ht="15.75" customHeight="1">
      <c r="A22" s="513"/>
      <c r="B22" s="54"/>
      <c r="C22" s="514"/>
      <c r="D22" s="515"/>
      <c r="E22" s="516"/>
      <c r="F22" s="517"/>
      <c r="G22" s="518"/>
      <c r="H22" s="480"/>
      <c r="I22" s="519"/>
      <c r="J22" s="519"/>
      <c r="K22" s="520"/>
      <c r="R22" s="13"/>
    </row>
    <row r="23" spans="1:18" ht="11" customHeight="1">
      <c r="A23" s="482"/>
      <c r="B23" s="480"/>
      <c r="C23" s="521"/>
      <c r="D23" s="54"/>
      <c r="E23" s="54"/>
      <c r="F23" s="522"/>
      <c r="G23" s="521"/>
      <c r="H23" s="480"/>
      <c r="I23" s="480"/>
      <c r="J23" s="494"/>
      <c r="K23" s="496"/>
    </row>
    <row r="24" spans="1:18" ht="21" customHeight="1">
      <c r="A24" s="482" t="s">
        <v>208</v>
      </c>
      <c r="B24" s="480"/>
      <c r="C24" s="480"/>
      <c r="D24" s="54"/>
      <c r="E24" s="522"/>
      <c r="F24" s="523" t="s">
        <v>240</v>
      </c>
      <c r="G24" s="524">
        <f>IF(Forside!H12&gt;=4,1.02,1)</f>
        <v>1</v>
      </c>
      <c r="H24" s="525"/>
      <c r="I24" s="525"/>
      <c r="J24" s="526" t="s">
        <v>241</v>
      </c>
      <c r="K24" s="527">
        <f>(K6+J16+J21)*G24</f>
        <v>0</v>
      </c>
    </row>
    <row r="25" spans="1:18" ht="15" customHeight="1">
      <c r="A25" s="528"/>
      <c r="B25" s="529"/>
      <c r="C25" s="529"/>
      <c r="D25" s="529"/>
      <c r="E25" s="529"/>
      <c r="F25" s="529"/>
      <c r="G25" s="529"/>
      <c r="H25" s="476"/>
      <c r="I25" s="476"/>
      <c r="J25" s="476"/>
      <c r="K25" s="530"/>
    </row>
    <row r="26" spans="1:18" ht="22" customHeight="1">
      <c r="A26" s="531" t="str">
        <f>"Regulering af driftstilskud for de sidste 5 mdr. af "&amp;budgetår</f>
        <v>Regulering af driftstilskud for de sidste 5 mdr. af 2024</v>
      </c>
      <c r="B26" s="532"/>
      <c r="C26" s="532"/>
      <c r="D26" s="532"/>
      <c r="E26" s="532"/>
      <c r="F26" s="532"/>
      <c r="G26" s="532"/>
      <c r="H26" s="532"/>
      <c r="I26" s="532"/>
      <c r="J26" s="532"/>
      <c r="K26" s="533"/>
    </row>
    <row r="27" spans="1:18" ht="5" customHeight="1">
      <c r="A27" s="482"/>
      <c r="B27" s="480"/>
      <c r="C27" s="480"/>
      <c r="D27" s="480"/>
      <c r="E27" s="480"/>
      <c r="F27" s="480"/>
      <c r="G27" s="480"/>
      <c r="H27" s="480"/>
      <c r="I27" s="480"/>
      <c r="J27" s="480"/>
      <c r="K27" s="505"/>
    </row>
    <row r="28" spans="1:18" ht="15" customHeight="1">
      <c r="A28" s="534"/>
      <c r="B28" s="480"/>
      <c r="C28" s="535"/>
      <c r="D28" s="522"/>
      <c r="E28" s="480"/>
      <c r="F28" s="480"/>
      <c r="G28" s="480"/>
      <c r="H28" s="487"/>
      <c r="I28" s="483" t="str">
        <f>"Elevtal 5/9 "&amp;budgetår&amp;" :"</f>
        <v>Elevtal 5/9 2024 :</v>
      </c>
      <c r="J28" s="536">
        <f>Elevtal</f>
        <v>0</v>
      </c>
      <c r="K28" s="485"/>
    </row>
    <row r="29" spans="1:18" ht="6" customHeight="1">
      <c r="A29" s="534"/>
      <c r="B29" s="480"/>
      <c r="C29" s="535"/>
      <c r="D29" s="522"/>
      <c r="E29" s="480"/>
      <c r="F29" s="483"/>
      <c r="G29" s="522"/>
      <c r="H29" s="487"/>
      <c r="I29" s="537"/>
      <c r="J29" s="483"/>
      <c r="K29" s="496"/>
    </row>
    <row r="30" spans="1:18" ht="15" customHeight="1">
      <c r="A30" s="482" t="str">
        <f>"Fordeling af elever 5/9-"&amp;budgetår&amp;":"</f>
        <v>Fordeling af elever 5/9-2024:</v>
      </c>
      <c r="B30" s="480"/>
      <c r="C30" s="480"/>
      <c r="D30" s="487"/>
      <c r="E30" s="480"/>
      <c r="F30" s="480"/>
      <c r="G30" s="480"/>
      <c r="H30" s="487"/>
      <c r="I30" s="480"/>
      <c r="J30" s="488"/>
      <c r="K30" s="485"/>
    </row>
    <row r="31" spans="1:18" ht="6" customHeight="1">
      <c r="A31" s="482"/>
      <c r="B31" s="480"/>
      <c r="C31" s="480"/>
      <c r="D31" s="487"/>
      <c r="E31" s="480"/>
      <c r="F31" s="480"/>
      <c r="G31" s="480"/>
      <c r="H31" s="487"/>
      <c r="I31" s="480"/>
      <c r="J31" s="488"/>
      <c r="K31" s="485"/>
    </row>
    <row r="32" spans="1:18" ht="15" customHeight="1">
      <c r="A32" s="489"/>
      <c r="B32" s="490" t="str">
        <f>"Elever pr. 5/9- "&amp;budgetår&amp;" : "</f>
        <v xml:space="preserve">Elever pr. 5/9- 2024 : </v>
      </c>
      <c r="C32" s="490" t="s">
        <v>188</v>
      </c>
      <c r="D32" s="491">
        <f>elevu13</f>
        <v>0</v>
      </c>
      <c r="E32" s="476"/>
      <c r="F32" s="490" t="s">
        <v>189</v>
      </c>
      <c r="G32" s="491">
        <f>elevo13</f>
        <v>0</v>
      </c>
      <c r="H32" s="476"/>
      <c r="I32" s="492" t="s">
        <v>184</v>
      </c>
      <c r="J32" s="491">
        <f>elev10kl</f>
        <v>0</v>
      </c>
      <c r="K32" s="493"/>
    </row>
    <row r="33" spans="1:11" ht="12" customHeight="1">
      <c r="A33" s="482"/>
      <c r="B33" s="480"/>
      <c r="C33" s="480"/>
      <c r="D33" s="538"/>
      <c r="E33" s="480"/>
      <c r="F33" s="480"/>
      <c r="G33" s="480"/>
      <c r="H33" s="480"/>
      <c r="I33" s="480"/>
      <c r="J33" s="480"/>
      <c r="K33" s="493"/>
    </row>
    <row r="34" spans="1:11" ht="16">
      <c r="A34" s="482" t="s">
        <v>185</v>
      </c>
      <c r="B34" s="480"/>
      <c r="C34" s="480"/>
      <c r="D34" s="495"/>
      <c r="E34" s="480"/>
      <c r="F34" s="480"/>
      <c r="G34" s="539" t="s">
        <v>242</v>
      </c>
      <c r="H34" s="54"/>
      <c r="I34" s="480"/>
      <c r="J34" s="480"/>
      <c r="K34" s="496"/>
    </row>
    <row r="35" spans="1:11" ht="16">
      <c r="A35" s="482"/>
      <c r="B35" s="2737"/>
      <c r="C35" s="497" t="s">
        <v>262</v>
      </c>
      <c r="D35" s="498"/>
      <c r="E35" s="498"/>
      <c r="F35" s="499">
        <f>FaeUdgSmaa</f>
        <v>7979</v>
      </c>
      <c r="G35" s="540">
        <f>IF(elevtal_1&lt;221,IF(Elevtal&lt;221,Elevtal-elevtal_1,IF(Elevtal&gt;220,220-elevtal_1)),IF(elevtal_1&gt;220,IF(Elevtal&gt;220,0,IF(Elevtal&lt;221,Elevtal-220))))</f>
        <v>0</v>
      </c>
      <c r="H35" s="541" t="s">
        <v>243</v>
      </c>
      <c r="I35" s="501">
        <f>MIN(G35,220)*F35*5/12</f>
        <v>0</v>
      </c>
      <c r="J35" s="502"/>
      <c r="K35" s="505"/>
    </row>
    <row r="36" spans="1:11" ht="16">
      <c r="A36" s="482"/>
      <c r="B36" s="2737"/>
      <c r="C36" s="497" t="s">
        <v>269</v>
      </c>
      <c r="D36" s="498"/>
      <c r="E36" s="498"/>
      <c r="F36" s="499">
        <f>FaeUdgStore</f>
        <v>3192</v>
      </c>
      <c r="G36" s="665">
        <f>IF(elevtal_1&lt;221,IF(Elevtal&lt;221,0,IF(Elevtal&gt;220,Elevtal-220)),IF(elevtal_1&gt;220,IF(Elevtal&gt;220,((Elevtal-220)-(elevtal_1-220)),IF(Elevtal&lt;221,G16*-1))))</f>
        <v>0</v>
      </c>
      <c r="H36" s="541" t="s">
        <v>243</v>
      </c>
      <c r="I36" s="501">
        <f>F36*G36*5/12</f>
        <v>0</v>
      </c>
      <c r="J36" s="501">
        <f>SUM(I35:I36)</f>
        <v>0</v>
      </c>
      <c r="K36" s="505"/>
    </row>
    <row r="37" spans="1:11" ht="16">
      <c r="A37" s="482"/>
      <c r="B37" s="480"/>
      <c r="C37" s="480"/>
      <c r="D37" s="480"/>
      <c r="E37" s="480"/>
      <c r="F37" s="480"/>
      <c r="G37" s="480"/>
      <c r="H37" s="480"/>
      <c r="I37" s="480"/>
      <c r="J37" s="480"/>
      <c r="K37" s="493"/>
    </row>
    <row r="38" spans="1:11" ht="16">
      <c r="A38" s="482" t="s">
        <v>283</v>
      </c>
      <c r="B38" s="480"/>
      <c r="C38" s="480"/>
      <c r="D38" s="480"/>
      <c r="E38" s="480"/>
      <c r="F38" s="480"/>
      <c r="G38" s="539" t="s">
        <v>242</v>
      </c>
      <c r="H38" s="480"/>
      <c r="I38" s="480"/>
      <c r="J38" s="480"/>
      <c r="K38" s="505"/>
    </row>
    <row r="39" spans="1:11" ht="15" customHeight="1">
      <c r="A39" s="482"/>
      <c r="B39" s="542"/>
      <c r="C39" s="2724" t="s">
        <v>732</v>
      </c>
      <c r="D39" s="2725"/>
      <c r="E39" s="2726"/>
      <c r="F39" s="506">
        <f>UvTaxU13</f>
        <v>41840</v>
      </c>
      <c r="G39" s="722">
        <f>(elevu13-elevu13_1)*1</f>
        <v>0</v>
      </c>
      <c r="H39" s="541" t="s">
        <v>243</v>
      </c>
      <c r="I39" s="501">
        <f>F39*G39*5/12</f>
        <v>0</v>
      </c>
      <c r="J39" s="502"/>
      <c r="K39" s="485"/>
    </row>
    <row r="40" spans="1:11" ht="15" customHeight="1">
      <c r="A40" s="482"/>
      <c r="B40" s="542"/>
      <c r="C40" s="2720" t="s">
        <v>733</v>
      </c>
      <c r="D40" s="2721"/>
      <c r="E40" s="2722"/>
      <c r="F40" s="499">
        <f>UvTaxO13</f>
        <v>55229</v>
      </c>
      <c r="G40" s="543">
        <f>elevo13-elevo13_1</f>
        <v>0</v>
      </c>
      <c r="H40" s="541" t="s">
        <v>243</v>
      </c>
      <c r="I40" s="501">
        <f>F40*G40*5/12</f>
        <v>0</v>
      </c>
      <c r="J40" s="502"/>
      <c r="K40" s="485"/>
    </row>
    <row r="41" spans="1:11" ht="15" customHeight="1">
      <c r="A41" s="482"/>
      <c r="B41" s="542"/>
      <c r="C41" s="508" t="s">
        <v>734</v>
      </c>
      <c r="D41" s="509"/>
      <c r="E41" s="510"/>
      <c r="F41" s="511">
        <f>UvTax10kl</f>
        <v>54124</v>
      </c>
      <c r="G41" s="544">
        <f>((7/12*elev10kl_1)+(5/24*elev10klfeb_1)+(5/24*elev10kl))-elev10kl_1</f>
        <v>0</v>
      </c>
      <c r="H41" s="545"/>
      <c r="I41" s="501">
        <f>F41*G41</f>
        <v>0</v>
      </c>
      <c r="J41" s="501">
        <f>SUM(I39:I41)</f>
        <v>0</v>
      </c>
      <c r="K41" s="485"/>
    </row>
    <row r="42" spans="1:11" ht="15" customHeight="1">
      <c r="A42" s="482"/>
      <c r="B42" s="480"/>
      <c r="C42" s="521"/>
      <c r="D42" s="54"/>
      <c r="E42" s="54"/>
      <c r="F42" s="522"/>
      <c r="G42" s="521"/>
      <c r="H42" s="480"/>
      <c r="I42" s="480"/>
      <c r="J42" s="494"/>
      <c r="K42" s="496"/>
    </row>
    <row r="43" spans="1:11" ht="6" customHeight="1">
      <c r="A43" s="482"/>
      <c r="B43" s="480"/>
      <c r="C43" s="521"/>
      <c r="D43" s="54"/>
      <c r="E43" s="54"/>
      <c r="F43" s="522"/>
      <c r="G43" s="521"/>
      <c r="H43" s="480"/>
      <c r="I43" s="480"/>
      <c r="J43" s="494"/>
      <c r="K43" s="496"/>
    </row>
    <row r="44" spans="1:11" ht="21" customHeight="1" thickBot="1">
      <c r="A44" s="482"/>
      <c r="B44" s="480"/>
      <c r="C44" s="480"/>
      <c r="D44" s="480"/>
      <c r="E44" s="480"/>
      <c r="F44" s="480"/>
      <c r="G44" s="480"/>
      <c r="H44" s="525"/>
      <c r="I44" s="525"/>
      <c r="J44" s="526" t="s">
        <v>220</v>
      </c>
      <c r="K44" s="546">
        <f>(J36+J41)*G24</f>
        <v>0</v>
      </c>
    </row>
    <row r="45" spans="1:11" ht="21" customHeight="1" thickBot="1">
      <c r="A45" s="547"/>
      <c r="B45" s="548" t="str">
        <f>"Årselevtal "&amp;budgetår&amp;":"</f>
        <v>Årselevtal 2024:</v>
      </c>
      <c r="C45" s="549">
        <f>IF(J28=0,0,((J8*7/12)+(J28*5/12)))</f>
        <v>0</v>
      </c>
      <c r="D45" s="550"/>
      <c r="E45" s="551" t="s">
        <v>221</v>
      </c>
      <c r="F45" s="552" t="str">
        <f>IF(K45=0,"",K45/((J8*7/12)+(J28*5/12)))</f>
        <v/>
      </c>
      <c r="G45" s="550"/>
      <c r="H45" s="553" t="str">
        <f>"Driftstilskud i alt "&amp;budgetår</f>
        <v>Driftstilskud i alt 2024</v>
      </c>
      <c r="I45" s="554"/>
      <c r="J45" s="554"/>
      <c r="K45" s="555">
        <f>K24+K44</f>
        <v>0</v>
      </c>
    </row>
    <row r="46" spans="1:11" ht="21" customHeight="1">
      <c r="A46" s="482"/>
      <c r="B46" s="480"/>
      <c r="C46" s="480"/>
      <c r="D46" s="480"/>
      <c r="E46" s="480"/>
      <c r="F46" s="480"/>
      <c r="G46" s="480"/>
      <c r="H46" s="480"/>
      <c r="I46" s="480"/>
      <c r="J46" s="480"/>
      <c r="K46" s="485"/>
    </row>
    <row r="47" spans="1:11" ht="19" customHeight="1">
      <c r="A47" s="556" t="s">
        <v>258</v>
      </c>
      <c r="B47" s="557"/>
      <c r="C47" s="557"/>
      <c r="D47" s="557"/>
      <c r="E47" s="480"/>
      <c r="F47" s="480"/>
      <c r="G47" s="480"/>
      <c r="H47" s="480"/>
      <c r="I47" s="480"/>
      <c r="J47" s="480"/>
      <c r="K47" s="485"/>
    </row>
    <row r="48" spans="1:11" ht="19" customHeight="1">
      <c r="A48" s="664"/>
      <c r="B48" s="557"/>
      <c r="C48" s="557"/>
      <c r="D48" s="557"/>
      <c r="E48" s="480"/>
      <c r="F48" s="480"/>
      <c r="G48" s="480"/>
      <c r="H48" s="480"/>
      <c r="I48" s="480"/>
      <c r="J48" s="480"/>
      <c r="K48" s="520"/>
    </row>
    <row r="49" spans="1:11" ht="13" customHeight="1">
      <c r="A49" s="402"/>
      <c r="B49" s="405" t="s">
        <v>369</v>
      </c>
      <c r="C49" s="558"/>
      <c r="D49" s="404"/>
      <c r="E49" s="2701" t="s">
        <v>1040</v>
      </c>
      <c r="F49" s="2702"/>
      <c r="G49" s="2702"/>
      <c r="H49" s="2702"/>
      <c r="I49" s="2703"/>
      <c r="J49" s="676">
        <f>SUM(E50:I50)</f>
        <v>137755</v>
      </c>
      <c r="K49" s="520"/>
    </row>
    <row r="50" spans="1:11" ht="14" customHeight="1">
      <c r="A50" s="402"/>
      <c r="B50" s="403"/>
      <c r="C50" s="558"/>
      <c r="D50" s="404"/>
      <c r="E50" s="901">
        <f>IF(elevtal_1&lt;=149,InklGrund,"0")</f>
        <v>137755</v>
      </c>
      <c r="F50" s="901" t="b">
        <f>IF(AND(elevtal_1&gt;=150,elevtal_1&lt;=299),ROUND(InklGrund*95%,"0"))</f>
        <v>0</v>
      </c>
      <c r="G50" s="902" t="str">
        <f>IF(AND(elevtal_1&gt;=300,elevtal_1&lt;=450),InklGrund*90%,"0")</f>
        <v>0</v>
      </c>
      <c r="H50" s="903" t="str">
        <f>IF(elevtal_1&gt;450,InklGrund*85%,"0")</f>
        <v>0</v>
      </c>
      <c r="I50" s="904"/>
      <c r="J50" s="562"/>
      <c r="K50" s="520"/>
    </row>
    <row r="51" spans="1:11" ht="15.75" customHeight="1">
      <c r="A51" s="408"/>
      <c r="B51" s="403"/>
      <c r="C51" s="558"/>
      <c r="D51" s="404"/>
      <c r="E51" s="2728" t="str">
        <f>"Antal elever 5/9 "&amp;budgetår-1</f>
        <v>Antal elever 5/9 2023</v>
      </c>
      <c r="F51" s="2729"/>
      <c r="G51" s="2731" t="s">
        <v>246</v>
      </c>
      <c r="H51" s="2732"/>
      <c r="I51" s="2733"/>
      <c r="J51" s="559" t="s">
        <v>211</v>
      </c>
      <c r="K51" s="485"/>
    </row>
    <row r="52" spans="1:11" ht="15.75" customHeight="1">
      <c r="A52" s="408"/>
      <c r="B52" s="409" t="s">
        <v>255</v>
      </c>
      <c r="C52" s="558"/>
      <c r="D52" s="404"/>
      <c r="E52" s="2730">
        <f>elevtal_1</f>
        <v>0</v>
      </c>
      <c r="F52" s="2730"/>
      <c r="G52" s="2734">
        <f>Bygtilsk</f>
        <v>2718</v>
      </c>
      <c r="H52" s="2735"/>
      <c r="I52" s="2736"/>
      <c r="J52" s="560">
        <f>E52*G52</f>
        <v>0</v>
      </c>
      <c r="K52" s="485"/>
    </row>
    <row r="53" spans="1:11" ht="21" customHeight="1">
      <c r="A53" s="408"/>
      <c r="B53" s="409"/>
      <c r="C53" s="558"/>
      <c r="D53" s="404"/>
      <c r="E53" s="410"/>
      <c r="F53" s="411"/>
      <c r="G53" s="495"/>
      <c r="H53" s="561"/>
      <c r="I53" s="412"/>
      <c r="J53" s="562"/>
      <c r="K53" s="485"/>
    </row>
    <row r="54" spans="1:11" ht="15.75" customHeight="1">
      <c r="A54" s="408"/>
      <c r="B54" s="2704" t="str">
        <f>"Tilskud til undervisning af SPS elever for hele "&amp;budgetår&amp;""</f>
        <v>Tilskud til undervisning af SPS elever for hele 2024</v>
      </c>
      <c r="C54" s="2704"/>
      <c r="D54" s="2705"/>
      <c r="E54" s="2708" t="str">
        <f>"Antal SPS elever pr. 5/9 "&amp;budgetår-1</f>
        <v>Antal SPS elever pr. 5/9 2023</v>
      </c>
      <c r="F54" s="2709"/>
      <c r="G54" s="2709"/>
      <c r="H54" s="2709"/>
      <c r="I54" s="2710"/>
      <c r="J54" s="559" t="s">
        <v>211</v>
      </c>
      <c r="K54" s="485"/>
    </row>
    <row r="55" spans="1:11" ht="15.75" customHeight="1">
      <c r="A55" s="408"/>
      <c r="B55" s="2704"/>
      <c r="C55" s="2704"/>
      <c r="D55" s="2704"/>
      <c r="E55" s="2711">
        <f>Forside!E36</f>
        <v>0</v>
      </c>
      <c r="F55" s="2712"/>
      <c r="G55" s="2712"/>
      <c r="H55" s="2712"/>
      <c r="I55" s="2713"/>
      <c r="J55" s="676">
        <f>(IF(E55&gt;0,SatsBilag!B48,0)+IF(E55&gt;1,SatsBilag!B49,0)+IF(E55&gt;2,(SatsBilag!B50*(E55-2)))+IF(Forside!H8&gt;0,Statstilskud!E55-12)*SatsBilag!B51)</f>
        <v>0</v>
      </c>
      <c r="K55" s="485"/>
    </row>
    <row r="56" spans="1:11" ht="18" customHeight="1">
      <c r="A56" s="534"/>
      <c r="B56" s="563"/>
      <c r="C56" s="480"/>
      <c r="D56" s="404"/>
      <c r="E56" s="404"/>
      <c r="F56" s="404"/>
      <c r="G56" s="404"/>
      <c r="H56" s="561"/>
      <c r="I56" s="561"/>
      <c r="J56" s="562"/>
      <c r="K56" s="485"/>
    </row>
    <row r="57" spans="1:11" ht="15.75" customHeight="1">
      <c r="A57" s="408"/>
      <c r="B57" s="2706" t="str">
        <f>"Tilskud til personlig assistence samt to-sprogede              (hele "&amp;budgetår&amp;")"</f>
        <v>Tilskud til personlig assistence samt to-sprogede              (hele 2024)</v>
      </c>
      <c r="C57" s="2706"/>
      <c r="D57" s="2707"/>
      <c r="E57" s="2714" t="s">
        <v>839</v>
      </c>
      <c r="F57" s="2715"/>
      <c r="G57" s="2715"/>
      <c r="H57" s="2715"/>
      <c r="I57" s="2716"/>
      <c r="J57" s="677" t="s">
        <v>211</v>
      </c>
      <c r="K57" s="485"/>
    </row>
    <row r="58" spans="1:11" ht="22" customHeight="1">
      <c r="A58" s="408"/>
      <c r="B58" s="2706"/>
      <c r="C58" s="2706"/>
      <c r="D58" s="2707"/>
      <c r="E58" s="2717"/>
      <c r="F58" s="2718"/>
      <c r="G58" s="2718"/>
      <c r="H58" s="2718"/>
      <c r="I58" s="2719"/>
      <c r="J58" s="688"/>
      <c r="K58" s="485"/>
    </row>
    <row r="59" spans="1:11" ht="15.75" customHeight="1">
      <c r="A59" s="402"/>
      <c r="B59" s="667"/>
      <c r="C59" s="667"/>
      <c r="D59" s="667"/>
      <c r="E59" s="410"/>
      <c r="F59" s="668"/>
      <c r="G59" s="564"/>
      <c r="H59" s="561"/>
      <c r="I59" s="412"/>
      <c r="J59" s="562"/>
      <c r="K59" s="520"/>
    </row>
    <row r="60" spans="1:11" ht="15.75" customHeight="1">
      <c r="A60" s="534"/>
      <c r="B60" s="563"/>
      <c r="C60" s="480"/>
      <c r="D60" s="404"/>
      <c r="E60" s="683"/>
      <c r="F60" s="684" t="str">
        <f>"Antal elever 5/9 "&amp;budgetår-1</f>
        <v>Antal elever 5/9 2023</v>
      </c>
      <c r="G60" s="685" t="s">
        <v>246</v>
      </c>
      <c r="H60" s="686"/>
      <c r="I60" s="686"/>
      <c r="J60" s="687" t="s">
        <v>211</v>
      </c>
      <c r="K60" s="485"/>
    </row>
    <row r="61" spans="1:11" ht="15.75" customHeight="1">
      <c r="A61" s="413"/>
      <c r="B61" s="409" t="s">
        <v>235</v>
      </c>
      <c r="C61" s="414"/>
      <c r="D61" s="404"/>
      <c r="E61" s="406"/>
      <c r="F61" s="678">
        <f>Forside!E38</f>
        <v>0</v>
      </c>
      <c r="G61" s="679">
        <f>SFOtilsk</f>
        <v>8707</v>
      </c>
      <c r="H61" s="680"/>
      <c r="I61" s="681"/>
      <c r="J61" s="682">
        <f>F61*G61</f>
        <v>0</v>
      </c>
      <c r="K61" s="485"/>
    </row>
    <row r="62" spans="1:11" ht="15.75" customHeight="1">
      <c r="A62" s="408"/>
      <c r="B62" s="415"/>
      <c r="C62" s="564"/>
      <c r="D62" s="404"/>
      <c r="E62" s="415" t="str">
        <f>"Ændringer 5/9 i "&amp;budgetår</f>
        <v>Ændringer 5/9 i 2024</v>
      </c>
      <c r="F62" s="407">
        <f>Forside!G38-Forside!E38</f>
        <v>0</v>
      </c>
      <c r="G62" s="407">
        <f>G61/12*5</f>
        <v>3627.916666666667</v>
      </c>
      <c r="H62" s="565"/>
      <c r="I62" s="566"/>
      <c r="J62" s="560">
        <f>F62*G62</f>
        <v>0</v>
      </c>
      <c r="K62" s="485"/>
    </row>
    <row r="63" spans="1:11" ht="1" customHeight="1" thickBot="1">
      <c r="A63" s="63"/>
      <c r="B63" s="64"/>
      <c r="C63" s="567"/>
      <c r="D63" s="62"/>
      <c r="E63" s="62"/>
      <c r="F63" s="65"/>
      <c r="G63" s="66"/>
      <c r="H63" s="568"/>
      <c r="I63" s="569"/>
      <c r="J63" s="570"/>
      <c r="K63" s="571"/>
    </row>
    <row r="64" spans="1:11" ht="15.75" customHeight="1" thickBot="1">
      <c r="A64" s="572" t="s">
        <v>291</v>
      </c>
      <c r="B64" s="67"/>
      <c r="C64" s="67"/>
      <c r="D64" s="67"/>
      <c r="E64" s="67"/>
      <c r="F64" s="67"/>
      <c r="G64" s="67"/>
      <c r="H64" s="573"/>
      <c r="I64" s="573"/>
      <c r="J64" s="574"/>
      <c r="K64" s="575">
        <f>SUM(J49:J62)</f>
        <v>137755</v>
      </c>
    </row>
    <row r="65" spans="1:11">
      <c r="A65" s="68"/>
      <c r="B65" s="59"/>
      <c r="C65" s="58"/>
      <c r="D65" s="59"/>
      <c r="E65" s="59"/>
      <c r="F65" s="60"/>
      <c r="G65" s="57"/>
      <c r="H65" s="60"/>
      <c r="I65" s="576"/>
      <c r="J65" s="576"/>
      <c r="K65" s="577"/>
    </row>
    <row r="66" spans="1:11">
      <c r="A66" s="1"/>
      <c r="B66" s="1"/>
      <c r="C66" s="578"/>
      <c r="D66" s="16"/>
      <c r="E66" s="15"/>
      <c r="F66" s="17"/>
      <c r="G66" s="15"/>
      <c r="H66" s="579"/>
    </row>
    <row r="67" spans="1:11" ht="15.75" customHeight="1" thickBot="1">
      <c r="H67" s="19"/>
    </row>
    <row r="68" spans="1:11" ht="20">
      <c r="A68" s="470" t="str">
        <f>"Beregning af driftstilskud for "&amp;budgetår+1</f>
        <v>Beregning af driftstilskud for 2025</v>
      </c>
      <c r="B68" s="580"/>
      <c r="C68" s="580"/>
      <c r="D68" s="580"/>
      <c r="E68" s="580"/>
      <c r="F68" s="580"/>
      <c r="G68" s="580"/>
      <c r="H68" s="580"/>
      <c r="I68" s="580"/>
      <c r="J68" s="580"/>
      <c r="K68" s="581"/>
    </row>
    <row r="69" spans="1:11" ht="16">
      <c r="A69" s="473" t="str">
        <f>"Grundtilskud 10.000 kr pr. elev 5/9-"&amp;budgetår&amp;" (max 400.000 kr.)"</f>
        <v>Grundtilskud 10.000 kr pr. elev 5/9-2024 (max 400.000 kr.)</v>
      </c>
      <c r="B69" s="474"/>
      <c r="C69" s="474"/>
      <c r="D69" s="474"/>
      <c r="E69" s="474"/>
      <c r="F69" s="474"/>
      <c r="G69" s="475" t="str">
        <f>"("&amp;GrundTilsk&amp;" x"&amp;Elevtal&amp;")"</f>
        <v>(10000 x0)</v>
      </c>
      <c r="H69" s="474"/>
      <c r="I69" s="474"/>
      <c r="J69" s="476"/>
      <c r="K69" s="582">
        <f>MIN(400000,J71*GrundTilsk)</f>
        <v>0</v>
      </c>
    </row>
    <row r="70" spans="1:11" ht="5" customHeight="1" thickBot="1">
      <c r="A70" s="478"/>
      <c r="B70" s="127"/>
      <c r="C70" s="127"/>
      <c r="D70" s="127"/>
      <c r="E70" s="127"/>
      <c r="F70" s="127"/>
      <c r="G70" s="479"/>
      <c r="H70" s="127"/>
      <c r="I70" s="127"/>
      <c r="J70" s="480"/>
      <c r="K70" s="583"/>
    </row>
    <row r="71" spans="1:11" ht="17" thickBot="1">
      <c r="A71" s="482" t="s">
        <v>187</v>
      </c>
      <c r="B71" s="480"/>
      <c r="C71" s="480"/>
      <c r="D71" s="480"/>
      <c r="E71" s="480"/>
      <c r="F71" s="480"/>
      <c r="G71" s="480"/>
      <c r="H71" s="480"/>
      <c r="I71" s="483" t="str">
        <f>"Elevtal 5/9- "&amp;budgetår</f>
        <v>Elevtal 5/9- 2024</v>
      </c>
      <c r="J71" s="484">
        <f>Elevtal</f>
        <v>0</v>
      </c>
      <c r="K71" s="584"/>
    </row>
    <row r="72" spans="1:11" ht="7" customHeight="1">
      <c r="A72" s="482"/>
      <c r="B72" s="480"/>
      <c r="C72" s="480"/>
      <c r="D72" s="480"/>
      <c r="E72" s="480"/>
      <c r="F72" s="480"/>
      <c r="G72" s="480"/>
      <c r="H72" s="480"/>
      <c r="I72" s="480"/>
      <c r="J72" s="480"/>
      <c r="K72" s="585"/>
    </row>
    <row r="73" spans="1:11" ht="16">
      <c r="A73" s="482" t="str">
        <f>"Fordeling af elever 5/9-"&amp;budgetår&amp;":"</f>
        <v>Fordeling af elever 5/9-2024:</v>
      </c>
      <c r="B73" s="480"/>
      <c r="C73" s="480"/>
      <c r="D73" s="480"/>
      <c r="E73" s="480"/>
      <c r="F73" s="480"/>
      <c r="G73" s="480"/>
      <c r="H73" s="480"/>
      <c r="I73" s="480"/>
      <c r="J73" s="480"/>
      <c r="K73" s="584"/>
    </row>
    <row r="74" spans="1:11" ht="7" customHeight="1">
      <c r="A74" s="482"/>
      <c r="B74" s="480"/>
      <c r="C74" s="480"/>
      <c r="D74" s="487"/>
      <c r="E74" s="480"/>
      <c r="F74" s="480"/>
      <c r="G74" s="480"/>
      <c r="H74" s="487"/>
      <c r="I74" s="480"/>
      <c r="J74" s="488"/>
      <c r="K74" s="584"/>
    </row>
    <row r="75" spans="1:11" ht="16">
      <c r="A75" s="489"/>
      <c r="B75" s="490" t="str">
        <f>"Elever pr. 5/9- "&amp;budgetår&amp;" : "</f>
        <v xml:space="preserve">Elever pr. 5/9- 2024 : </v>
      </c>
      <c r="C75" s="490" t="s">
        <v>188</v>
      </c>
      <c r="D75" s="491">
        <f>elevu13</f>
        <v>0</v>
      </c>
      <c r="E75" s="476"/>
      <c r="F75" s="490" t="s">
        <v>189</v>
      </c>
      <c r="G75" s="491">
        <f>elevo13</f>
        <v>0</v>
      </c>
      <c r="H75" s="476"/>
      <c r="I75" s="492" t="s">
        <v>184</v>
      </c>
      <c r="J75" s="491">
        <f>elev10kl</f>
        <v>0</v>
      </c>
      <c r="K75" s="586"/>
    </row>
    <row r="76" spans="1:11" ht="16">
      <c r="A76" s="482"/>
      <c r="B76" s="480"/>
      <c r="C76" s="480"/>
      <c r="D76" s="480"/>
      <c r="E76" s="494"/>
      <c r="F76" s="480"/>
      <c r="G76" s="480"/>
      <c r="H76" s="494"/>
      <c r="I76" s="480"/>
      <c r="J76" s="480"/>
      <c r="K76" s="586"/>
    </row>
    <row r="77" spans="1:11" ht="16">
      <c r="A77" s="482" t="s">
        <v>185</v>
      </c>
      <c r="B77" s="480"/>
      <c r="C77" s="480"/>
      <c r="D77" s="495"/>
      <c r="E77" s="480"/>
      <c r="F77" s="480"/>
      <c r="G77" s="495"/>
      <c r="H77" s="54"/>
      <c r="I77" s="480"/>
      <c r="J77" s="480"/>
      <c r="K77" s="586"/>
    </row>
    <row r="78" spans="1:11" ht="16">
      <c r="A78" s="482"/>
      <c r="B78" s="2723"/>
      <c r="C78" s="497" t="s">
        <v>262</v>
      </c>
      <c r="D78" s="498"/>
      <c r="E78" s="498"/>
      <c r="F78" s="587">
        <f>FaeUdgSmaa*(1+FremskrStatst)</f>
        <v>7979</v>
      </c>
      <c r="G78" s="588">
        <f>IF(Elevtal&gt;220,220,Elevtal)</f>
        <v>0</v>
      </c>
      <c r="H78" s="476" t="s">
        <v>263</v>
      </c>
      <c r="I78" s="501">
        <f>G78*F78</f>
        <v>0</v>
      </c>
      <c r="J78" s="502"/>
      <c r="K78" s="584"/>
    </row>
    <row r="79" spans="1:11" ht="16">
      <c r="A79" s="482"/>
      <c r="B79" s="2723"/>
      <c r="C79" s="497" t="s">
        <v>264</v>
      </c>
      <c r="D79" s="498"/>
      <c r="E79" s="498"/>
      <c r="F79" s="587">
        <f>FaeUdgStore*(FremskrStatst_1+1)</f>
        <v>3239.8799999999997</v>
      </c>
      <c r="G79" s="588">
        <f>IF(Elevtal&gt;220,Elevtal-220,0)</f>
        <v>0</v>
      </c>
      <c r="H79" s="476" t="s">
        <v>263</v>
      </c>
      <c r="I79" s="501">
        <f>MAX(0,J71-219)*F79</f>
        <v>0</v>
      </c>
      <c r="J79" s="501">
        <f>SUM(I78:I79)</f>
        <v>0</v>
      </c>
      <c r="K79" s="584"/>
    </row>
    <row r="80" spans="1:11" ht="16">
      <c r="A80" s="482"/>
      <c r="B80" s="480"/>
      <c r="C80" s="480"/>
      <c r="D80" s="480"/>
      <c r="E80" s="480"/>
      <c r="F80" s="480"/>
      <c r="G80" s="480"/>
      <c r="H80" s="480"/>
      <c r="I80" s="502"/>
      <c r="J80" s="502"/>
      <c r="K80" s="586"/>
    </row>
    <row r="81" spans="1:11" ht="16">
      <c r="A81" s="482" t="s">
        <v>283</v>
      </c>
      <c r="B81" s="480"/>
      <c r="C81" s="480"/>
      <c r="D81" s="480"/>
      <c r="E81" s="480"/>
      <c r="F81" s="480"/>
      <c r="G81" s="480"/>
      <c r="H81" s="480"/>
      <c r="I81" s="502"/>
      <c r="J81" s="502"/>
      <c r="K81" s="589"/>
    </row>
    <row r="82" spans="1:11" ht="16">
      <c r="A82" s="482"/>
      <c r="B82" s="2723"/>
      <c r="C82" s="2724" t="s">
        <v>732</v>
      </c>
      <c r="D82" s="2725"/>
      <c r="E82" s="2726"/>
      <c r="F82" s="506">
        <f>UvTaxU13*(FremskrStatst+1)</f>
        <v>41840</v>
      </c>
      <c r="G82" s="512">
        <f>elevu13</f>
        <v>0</v>
      </c>
      <c r="H82" s="476" t="s">
        <v>263</v>
      </c>
      <c r="I82" s="501">
        <f>F82*D75</f>
        <v>0</v>
      </c>
      <c r="J82" s="502"/>
      <c r="K82" s="584"/>
    </row>
    <row r="83" spans="1:11" ht="16">
      <c r="A83" s="482"/>
      <c r="B83" s="2723"/>
      <c r="C83" s="2720" t="s">
        <v>733</v>
      </c>
      <c r="D83" s="2721"/>
      <c r="E83" s="2722"/>
      <c r="F83" s="506">
        <f>UvTaxO13*(FremskrStatst+1)</f>
        <v>55229</v>
      </c>
      <c r="G83" s="512">
        <f>elevo13</f>
        <v>0</v>
      </c>
      <c r="H83" s="476" t="s">
        <v>263</v>
      </c>
      <c r="I83" s="911">
        <f>F83*G75</f>
        <v>0</v>
      </c>
      <c r="J83" s="502"/>
      <c r="K83" s="584"/>
    </row>
    <row r="84" spans="1:11" ht="16">
      <c r="A84" s="482"/>
      <c r="B84" s="2723"/>
      <c r="C84" s="508" t="s">
        <v>734</v>
      </c>
      <c r="D84" s="509"/>
      <c r="E84" s="510"/>
      <c r="F84" s="590">
        <f>UvTax10kl*(FremskrStatst+1)</f>
        <v>54124</v>
      </c>
      <c r="G84" s="512">
        <f>elev10kl</f>
        <v>0</v>
      </c>
      <c r="H84" s="909" t="s">
        <v>263</v>
      </c>
      <c r="I84" s="912">
        <f>F84*G84</f>
        <v>0</v>
      </c>
      <c r="J84" s="910">
        <f>SUM(I82:I84)</f>
        <v>0</v>
      </c>
      <c r="K84" s="584"/>
    </row>
    <row r="85" spans="1:11" ht="16">
      <c r="A85" s="482"/>
      <c r="B85" s="480"/>
      <c r="C85" s="521"/>
      <c r="D85" s="54"/>
      <c r="E85" s="54"/>
      <c r="F85" s="522"/>
      <c r="G85" s="521"/>
      <c r="H85" s="480"/>
      <c r="I85" s="480"/>
      <c r="J85" s="494"/>
      <c r="K85" s="586"/>
    </row>
    <row r="86" spans="1:11" ht="16">
      <c r="A86" s="482" t="s">
        <v>208</v>
      </c>
      <c r="B86" s="480"/>
      <c r="C86" s="480"/>
      <c r="D86" s="54"/>
      <c r="E86" s="522"/>
      <c r="F86" s="523" t="s">
        <v>240</v>
      </c>
      <c r="G86" s="524">
        <f>IF(Forside!H12&gt;=4,1.02,1)</f>
        <v>1</v>
      </c>
      <c r="H86" s="525"/>
      <c r="I86" s="525"/>
      <c r="J86" s="526" t="s">
        <v>241</v>
      </c>
      <c r="K86" s="591">
        <f>(K69+J79+J84)*G86</f>
        <v>0</v>
      </c>
    </row>
    <row r="87" spans="1:11" ht="7" customHeight="1">
      <c r="A87" s="528"/>
      <c r="B87" s="529"/>
      <c r="C87" s="529"/>
      <c r="D87" s="529"/>
      <c r="E87" s="529"/>
      <c r="F87" s="529"/>
      <c r="G87" s="529"/>
      <c r="H87" s="476"/>
      <c r="I87" s="476"/>
      <c r="J87" s="476"/>
      <c r="K87" s="592"/>
    </row>
    <row r="88" spans="1:11" ht="20">
      <c r="A88" s="593" t="str">
        <f>"Regulering af driftstilskud for de sidste 5 mdr. af "&amp;budgetår+1</f>
        <v>Regulering af driftstilskud for de sidste 5 mdr. af 2025</v>
      </c>
      <c r="B88" s="594"/>
      <c r="C88" s="594"/>
      <c r="D88" s="594"/>
      <c r="E88" s="594"/>
      <c r="F88" s="594"/>
      <c r="G88" s="594"/>
      <c r="H88" s="594"/>
      <c r="I88" s="594"/>
      <c r="J88" s="594"/>
      <c r="K88" s="595"/>
    </row>
    <row r="89" spans="1:11" ht="4" customHeight="1">
      <c r="A89" s="482"/>
      <c r="B89" s="480"/>
      <c r="C89" s="480"/>
      <c r="D89" s="480"/>
      <c r="E89" s="480"/>
      <c r="F89" s="480"/>
      <c r="G89" s="480"/>
      <c r="H89" s="480"/>
      <c r="I89" s="480"/>
      <c r="J89" s="480"/>
      <c r="K89" s="589"/>
    </row>
    <row r="90" spans="1:11" ht="16">
      <c r="A90" s="534"/>
      <c r="B90" s="480"/>
      <c r="C90" s="535"/>
      <c r="D90" s="522"/>
      <c r="E90" s="480"/>
      <c r="F90" s="480"/>
      <c r="G90" s="480"/>
      <c r="H90" s="487"/>
      <c r="I90" s="483" t="str">
        <f>"Elevtal 5/9 "&amp;budgetår+1&amp;" :"</f>
        <v>Elevtal 5/9 2025 :</v>
      </c>
      <c r="J90" s="587">
        <f>elevtal_2</f>
        <v>0</v>
      </c>
      <c r="K90" s="584"/>
    </row>
    <row r="91" spans="1:11" ht="16">
      <c r="A91" s="2727" t="str">
        <f>"Fordeling af elever  5/9 "&amp;budgetår+1&amp;" :"</f>
        <v>Fordeling af elever  5/9 2025 :</v>
      </c>
      <c r="B91" s="2723"/>
      <c r="C91" s="2723"/>
      <c r="D91" s="487"/>
      <c r="E91" s="480"/>
      <c r="F91" s="480"/>
      <c r="G91" s="480"/>
      <c r="H91" s="487"/>
      <c r="I91" s="480"/>
      <c r="J91" s="488"/>
      <c r="K91" s="584"/>
    </row>
    <row r="92" spans="1:11" ht="16">
      <c r="A92" s="482"/>
      <c r="B92" s="480"/>
      <c r="C92" s="480"/>
      <c r="D92" s="487"/>
      <c r="E92" s="480"/>
      <c r="F92" s="480"/>
      <c r="G92" s="480"/>
      <c r="H92" s="487"/>
      <c r="I92" s="480"/>
      <c r="J92" s="488"/>
      <c r="K92" s="584"/>
    </row>
    <row r="93" spans="1:11" ht="16">
      <c r="A93" s="489"/>
      <c r="B93" s="490" t="str">
        <f>"Elever pr. 5/9- "&amp;budgetår+1&amp;" : "</f>
        <v xml:space="preserve">Elever pr. 5/9- 2025 : </v>
      </c>
      <c r="C93" s="490" t="s">
        <v>188</v>
      </c>
      <c r="D93" s="491">
        <f>elevu13_2</f>
        <v>0</v>
      </c>
      <c r="E93" s="476"/>
      <c r="F93" s="490" t="s">
        <v>189</v>
      </c>
      <c r="G93" s="491">
        <f>elevo13_2</f>
        <v>0</v>
      </c>
      <c r="H93" s="476"/>
      <c r="I93" s="492" t="s">
        <v>184</v>
      </c>
      <c r="J93" s="491">
        <f>elev10kl_2</f>
        <v>0</v>
      </c>
      <c r="K93" s="586"/>
    </row>
    <row r="94" spans="1:11" ht="16">
      <c r="A94" s="482"/>
      <c r="B94" s="480"/>
      <c r="C94" s="480"/>
      <c r="D94" s="538"/>
      <c r="E94" s="480"/>
      <c r="F94" s="480"/>
      <c r="G94" s="480"/>
      <c r="H94" s="480"/>
      <c r="I94" s="480"/>
      <c r="J94" s="480"/>
      <c r="K94" s="586"/>
    </row>
    <row r="95" spans="1:11" ht="16">
      <c r="A95" s="482" t="s">
        <v>185</v>
      </c>
      <c r="B95" s="480"/>
      <c r="C95" s="480"/>
      <c r="D95" s="495"/>
      <c r="E95" s="480"/>
      <c r="F95" s="480"/>
      <c r="G95" s="539" t="s">
        <v>242</v>
      </c>
      <c r="H95" s="54"/>
      <c r="I95" s="480"/>
      <c r="J95" s="480"/>
      <c r="K95" s="586"/>
    </row>
    <row r="96" spans="1:11" ht="16">
      <c r="A96" s="482"/>
      <c r="B96" s="2723"/>
      <c r="C96" s="497" t="s">
        <v>262</v>
      </c>
      <c r="D96" s="498"/>
      <c r="E96" s="498"/>
      <c r="F96" s="499">
        <f>FaeUdgSmaa*(1+FremskrStatst)</f>
        <v>7979</v>
      </c>
      <c r="G96" s="596">
        <f>IF(Elevtal&lt;221,IF(elevtal_2&lt;221,elevtal_2-Elevtal,IF(elevtal_2&gt;220,220-Elevtal)),IF(Elevtal&gt;220,IF(elevtal_2&gt;220,0,IF(elevtal_2&lt;221,elevtal_2-220))))</f>
        <v>0</v>
      </c>
      <c r="H96" s="541" t="s">
        <v>243</v>
      </c>
      <c r="I96" s="501">
        <f>MIN(G96,220)*F96*5/12</f>
        <v>0</v>
      </c>
      <c r="J96" s="502"/>
      <c r="K96" s="584"/>
    </row>
    <row r="97" spans="1:11" ht="16">
      <c r="A97" s="482"/>
      <c r="B97" s="2723"/>
      <c r="C97" s="497" t="s">
        <v>269</v>
      </c>
      <c r="D97" s="498"/>
      <c r="E97" s="498"/>
      <c r="F97" s="499">
        <f>FaeUdgStore*(FremskrStatst+1)</f>
        <v>3192</v>
      </c>
      <c r="G97" s="588">
        <f>IF(Elevtal&lt;221,IF(elevtal_2&lt;221,0,IF(elevtal_2&gt;220,elevtal_2-220)),IF(Elevtal&gt;220,IF(elevtal_2&gt;220,((elevtal_2-220)-(Elevtal-220)),IF(elevtal_2&lt;221,G82*-1))))</f>
        <v>0</v>
      </c>
      <c r="H97" s="541" t="s">
        <v>243</v>
      </c>
      <c r="I97" s="501">
        <f>F97*G97*5/12</f>
        <v>0</v>
      </c>
      <c r="J97" s="501">
        <f>SUM(I96:I97)</f>
        <v>0</v>
      </c>
      <c r="K97" s="589"/>
    </row>
    <row r="98" spans="1:11" ht="16">
      <c r="A98" s="482"/>
      <c r="B98" s="480"/>
      <c r="C98" s="480"/>
      <c r="D98" s="480"/>
      <c r="E98" s="480"/>
      <c r="F98" s="480"/>
      <c r="G98" s="480"/>
      <c r="H98" s="480"/>
      <c r="I98" s="480"/>
      <c r="J98" s="480"/>
      <c r="K98" s="586"/>
    </row>
    <row r="99" spans="1:11" ht="16">
      <c r="A99" s="482" t="s">
        <v>283</v>
      </c>
      <c r="B99" s="480"/>
      <c r="C99" s="480"/>
      <c r="D99" s="480"/>
      <c r="E99" s="480"/>
      <c r="F99" s="480"/>
      <c r="G99" s="539" t="s">
        <v>242</v>
      </c>
      <c r="H99" s="480"/>
      <c r="I99" s="480"/>
      <c r="J99" s="480"/>
      <c r="K99" s="589"/>
    </row>
    <row r="100" spans="1:11" ht="16">
      <c r="A100" s="482"/>
      <c r="B100" s="542"/>
      <c r="C100" s="2724" t="s">
        <v>732</v>
      </c>
      <c r="D100" s="2725"/>
      <c r="E100" s="2726"/>
      <c r="F100" s="506">
        <f>UvTaxU13*(FremskrStatst+1)</f>
        <v>41840</v>
      </c>
      <c r="G100" s="597">
        <f>elevu13_2-elevu13</f>
        <v>0</v>
      </c>
      <c r="H100" s="541" t="s">
        <v>243</v>
      </c>
      <c r="I100" s="501">
        <f>F100*G100*5/12</f>
        <v>0</v>
      </c>
      <c r="J100" s="502"/>
      <c r="K100" s="584"/>
    </row>
    <row r="101" spans="1:11" ht="16">
      <c r="A101" s="482"/>
      <c r="B101" s="542"/>
      <c r="C101" s="2720" t="s">
        <v>733</v>
      </c>
      <c r="D101" s="2721"/>
      <c r="E101" s="2722"/>
      <c r="F101" s="506">
        <f>UvTaxO13*(FremskrStatst+1)</f>
        <v>55229</v>
      </c>
      <c r="G101" s="597">
        <f>elevo13_2-elevo13</f>
        <v>0</v>
      </c>
      <c r="H101" s="541" t="s">
        <v>243</v>
      </c>
      <c r="I101" s="501">
        <f>F101*G101*5/12</f>
        <v>0</v>
      </c>
      <c r="J101" s="502"/>
      <c r="K101" s="584"/>
    </row>
    <row r="102" spans="1:11" ht="16">
      <c r="A102" s="598" t="s">
        <v>292</v>
      </c>
      <c r="B102" s="599"/>
      <c r="C102" s="508" t="s">
        <v>734</v>
      </c>
      <c r="D102" s="509"/>
      <c r="E102" s="510"/>
      <c r="F102" s="590">
        <f>UvTax10kl*(FremskrStatst+1)</f>
        <v>54124</v>
      </c>
      <c r="G102" s="600">
        <f>((7/12*elev10kl)+(5/24*elev10klfeb)+(5/24*elev10kl_2))-elev10kl</f>
        <v>0</v>
      </c>
      <c r="H102" s="601"/>
      <c r="I102" s="501">
        <f>F102*G102</f>
        <v>0</v>
      </c>
      <c r="J102" s="501">
        <f>SUM(I100:I102)</f>
        <v>0</v>
      </c>
      <c r="K102" s="584"/>
    </row>
    <row r="103" spans="1:11" ht="16">
      <c r="A103" s="482"/>
      <c r="B103" s="480"/>
      <c r="C103" s="521"/>
      <c r="D103" s="54"/>
      <c r="E103" s="54"/>
      <c r="F103" s="522"/>
      <c r="G103" s="521"/>
      <c r="H103" s="480"/>
      <c r="I103" s="480"/>
      <c r="J103" s="494"/>
      <c r="K103" s="586"/>
    </row>
    <row r="104" spans="1:11" ht="16">
      <c r="A104" s="482"/>
      <c r="B104" s="480"/>
      <c r="C104" s="521"/>
      <c r="D104" s="54"/>
      <c r="E104" s="54"/>
      <c r="F104" s="522"/>
      <c r="G104" s="521"/>
      <c r="H104" s="480"/>
      <c r="I104" s="480"/>
      <c r="J104" s="494"/>
      <c r="K104" s="586"/>
    </row>
    <row r="105" spans="1:11" ht="16">
      <c r="A105" s="482"/>
      <c r="B105" s="480"/>
      <c r="C105" s="480"/>
      <c r="D105" s="54"/>
      <c r="E105" s="522"/>
      <c r="F105" s="523"/>
      <c r="G105" s="602"/>
      <c r="H105" s="525"/>
      <c r="I105" s="525"/>
      <c r="J105" s="526" t="s">
        <v>220</v>
      </c>
      <c r="K105" s="603">
        <f>(J97+J102)*G86</f>
        <v>0</v>
      </c>
    </row>
    <row r="106" spans="1:11" ht="17" thickBot="1">
      <c r="A106" s="534"/>
      <c r="B106" s="480"/>
      <c r="C106" s="480"/>
      <c r="D106" s="480"/>
      <c r="E106" s="480"/>
      <c r="F106" s="480"/>
      <c r="G106" s="480"/>
      <c r="H106" s="480"/>
      <c r="I106" s="480"/>
      <c r="J106" s="604"/>
      <c r="K106" s="605"/>
    </row>
    <row r="107" spans="1:11" ht="18" thickBot="1">
      <c r="A107" s="547"/>
      <c r="B107" s="548" t="str">
        <f>"Årselevtal "&amp;budgetår+1&amp;":"</f>
        <v>Årselevtal 2025:</v>
      </c>
      <c r="C107" s="549">
        <f>IF(J90=0,0,((J71*7/12)+(J90*5/12)))</f>
        <v>0</v>
      </c>
      <c r="D107" s="550"/>
      <c r="E107" s="551" t="s">
        <v>221</v>
      </c>
      <c r="F107" s="552" t="str">
        <f>IF(K107=0,"",K107/((J71*7/12)+(J90*5/12)))</f>
        <v/>
      </c>
      <c r="G107" s="550"/>
      <c r="H107" s="553" t="str">
        <f>"Driftstilskud i alt "&amp;budgetår+1</f>
        <v>Driftstilskud i alt 2025</v>
      </c>
      <c r="I107" s="554"/>
      <c r="J107" s="554"/>
      <c r="K107" s="555">
        <f>K86+K105</f>
        <v>0</v>
      </c>
    </row>
    <row r="108" spans="1:11" ht="5" customHeight="1">
      <c r="A108" s="606"/>
      <c r="B108" s="607"/>
      <c r="C108" s="607"/>
      <c r="D108" s="607"/>
      <c r="E108" s="607"/>
      <c r="F108" s="607"/>
      <c r="G108" s="607"/>
      <c r="H108" s="607"/>
      <c r="I108" s="607"/>
      <c r="J108" s="607"/>
      <c r="K108" s="584"/>
    </row>
    <row r="109" spans="1:11" ht="16">
      <c r="A109" s="482"/>
      <c r="B109" s="480"/>
      <c r="C109" s="480"/>
      <c r="D109" s="480"/>
      <c r="E109" s="480"/>
      <c r="F109" s="480"/>
      <c r="G109" s="480"/>
      <c r="H109" s="480"/>
      <c r="I109" s="480"/>
      <c r="J109" s="480"/>
      <c r="K109" s="485"/>
    </row>
    <row r="110" spans="1:11" ht="20">
      <c r="A110" s="556" t="s">
        <v>258</v>
      </c>
      <c r="B110" s="557"/>
      <c r="C110" s="557"/>
      <c r="D110" s="557"/>
      <c r="E110" s="480"/>
      <c r="F110" s="480"/>
      <c r="G110" s="480"/>
      <c r="H110" s="480"/>
      <c r="I110" s="480"/>
      <c r="J110" s="480"/>
      <c r="K110" s="485"/>
    </row>
    <row r="111" spans="1:11">
      <c r="A111" s="402"/>
      <c r="B111" s="405" t="s">
        <v>369</v>
      </c>
      <c r="C111" s="558"/>
      <c r="D111" s="404"/>
      <c r="E111" s="2701" t="s">
        <v>1040</v>
      </c>
      <c r="F111" s="2702"/>
      <c r="G111" s="2702"/>
      <c r="H111" s="2702"/>
      <c r="I111" s="2703"/>
      <c r="J111" s="560">
        <f>SUM(E112:I112)</f>
        <v>137755</v>
      </c>
      <c r="K111" s="520"/>
    </row>
    <row r="112" spans="1:11">
      <c r="A112" s="402"/>
      <c r="B112" s="403"/>
      <c r="C112" s="558"/>
      <c r="D112" s="404"/>
      <c r="E112" s="901">
        <f>IF(J71&lt;=149,InklGrund,"0")</f>
        <v>137755</v>
      </c>
      <c r="F112" s="901" t="b">
        <f>IF(AND(J71&gt;=150,J71&lt;=299),ROUND(InklGrund*95%,"0"))</f>
        <v>0</v>
      </c>
      <c r="G112" s="902" t="str">
        <f>IF(AND(J71&gt;=300,J71&lt;=450),InklGrund*90%,"0")</f>
        <v>0</v>
      </c>
      <c r="H112" s="903" t="str">
        <f>IF(J71&gt;450,InklGrund*85%,"0")</f>
        <v>0</v>
      </c>
      <c r="I112" s="904"/>
      <c r="J112" s="562"/>
      <c r="K112" s="520"/>
    </row>
    <row r="113" spans="1:11">
      <c r="A113" s="408"/>
      <c r="B113" s="403"/>
      <c r="C113" s="558"/>
      <c r="D113" s="404"/>
      <c r="E113" s="2738" t="str">
        <f>"Antal elever 5/9 "&amp;budgetår</f>
        <v>Antal elever 5/9 2024</v>
      </c>
      <c r="F113" s="2738"/>
      <c r="G113" s="2739" t="s">
        <v>246</v>
      </c>
      <c r="H113" s="2740"/>
      <c r="I113" s="2741"/>
      <c r="J113" s="559" t="s">
        <v>211</v>
      </c>
      <c r="K113" s="485"/>
    </row>
    <row r="114" spans="1:11">
      <c r="A114" s="408"/>
      <c r="B114" s="409" t="s">
        <v>255</v>
      </c>
      <c r="C114" s="558"/>
      <c r="D114" s="404"/>
      <c r="E114" s="2730">
        <f>Elevtal</f>
        <v>0</v>
      </c>
      <c r="F114" s="2730"/>
      <c r="G114" s="2734">
        <f>Bygtilsk*(SatsBilag!B43+1)</f>
        <v>2718</v>
      </c>
      <c r="H114" s="2735"/>
      <c r="I114" s="2736"/>
      <c r="J114" s="560">
        <f>E114*G114</f>
        <v>0</v>
      </c>
      <c r="K114" s="485"/>
    </row>
    <row r="115" spans="1:11">
      <c r="A115" s="408"/>
      <c r="B115" s="409"/>
      <c r="C115" s="558"/>
      <c r="D115" s="404"/>
      <c r="E115" s="410"/>
      <c r="F115" s="411"/>
      <c r="G115" s="495"/>
      <c r="H115" s="561"/>
      <c r="I115" s="412"/>
      <c r="J115" s="562"/>
      <c r="K115" s="485"/>
    </row>
    <row r="116" spans="1:11" ht="2" customHeight="1">
      <c r="A116" s="534"/>
      <c r="B116" s="563"/>
      <c r="C116" s="480"/>
      <c r="D116" s="404"/>
      <c r="E116" s="404"/>
      <c r="F116" s="404"/>
      <c r="G116" s="404"/>
      <c r="H116" s="561"/>
      <c r="I116" s="561"/>
      <c r="J116" s="562"/>
      <c r="K116" s="485"/>
    </row>
    <row r="117" spans="1:11" ht="2" customHeight="1">
      <c r="A117" s="666"/>
      <c r="B117" s="563"/>
      <c r="C117" s="480"/>
      <c r="D117" s="404"/>
      <c r="E117" s="404"/>
      <c r="F117" s="404"/>
      <c r="G117" s="404"/>
      <c r="H117" s="561"/>
      <c r="I117" s="561"/>
      <c r="J117" s="562"/>
      <c r="K117" s="520"/>
    </row>
    <row r="118" spans="1:11" ht="13" customHeight="1">
      <c r="A118" s="408"/>
      <c r="B118" s="2704" t="str">
        <f>"Tilskud til undervisning af SPS elever for hele "&amp;budgetår+1&amp;""</f>
        <v>Tilskud til undervisning af SPS elever for hele 2025</v>
      </c>
      <c r="C118" s="2704"/>
      <c r="D118" s="2705"/>
      <c r="E118" s="2743" t="str">
        <f>"Antal SPS elever pr. 5/9 "&amp;budgetår&amp;""</f>
        <v>Antal SPS elever pr. 5/9 2024</v>
      </c>
      <c r="F118" s="2744"/>
      <c r="G118" s="2744"/>
      <c r="H118" s="2744"/>
      <c r="I118" s="2745"/>
      <c r="J118" s="559" t="s">
        <v>211</v>
      </c>
      <c r="K118" s="485"/>
    </row>
    <row r="119" spans="1:11">
      <c r="A119" s="408"/>
      <c r="B119" s="2704"/>
      <c r="C119" s="2704"/>
      <c r="D119" s="2704"/>
      <c r="E119" s="2711">
        <f>Forside!G36</f>
        <v>0</v>
      </c>
      <c r="F119" s="2712"/>
      <c r="G119" s="2712"/>
      <c r="H119" s="2712"/>
      <c r="I119" s="2713"/>
      <c r="J119" s="676">
        <f>(IF(E119&gt;0,SatsBilag!B48,0)+IF(E119&gt;1,SatsBilag!B49,0)+IF(E119&gt;2,(SatsBilag!B50*(E119-2)))+IF(Forside!H10&gt;0,Statstilskud!E119-12)*SatsBilag!B51)</f>
        <v>0</v>
      </c>
      <c r="K119" s="485"/>
    </row>
    <row r="120" spans="1:11">
      <c r="A120" s="534"/>
      <c r="B120" s="563"/>
      <c r="C120" s="480"/>
      <c r="D120" s="404"/>
      <c r="E120" s="404"/>
      <c r="F120" s="404"/>
      <c r="G120" s="404"/>
      <c r="H120" s="561"/>
      <c r="I120" s="561"/>
      <c r="J120" s="562"/>
      <c r="K120" s="485"/>
    </row>
    <row r="121" spans="1:11" ht="13" customHeight="1">
      <c r="A121" s="408"/>
      <c r="B121" s="2742" t="str">
        <f>"Tilskud til personlig assistence samt to-spogede (hele "&amp;budgetår+1&amp;")"</f>
        <v>Tilskud til personlig assistence samt to-spogede (hele 2025)</v>
      </c>
      <c r="C121" s="2742"/>
      <c r="D121" s="2742"/>
      <c r="E121" s="2714" t="s">
        <v>791</v>
      </c>
      <c r="F121" s="2715"/>
      <c r="G121" s="2715"/>
      <c r="H121" s="2715"/>
      <c r="I121" s="2716"/>
      <c r="J121" s="677" t="s">
        <v>211</v>
      </c>
      <c r="K121" s="485"/>
    </row>
    <row r="122" spans="1:11">
      <c r="A122" s="408"/>
      <c r="B122" s="2742"/>
      <c r="C122" s="2742"/>
      <c r="D122" s="2742"/>
      <c r="E122" s="2717"/>
      <c r="F122" s="2718"/>
      <c r="G122" s="2718"/>
      <c r="H122" s="2718"/>
      <c r="I122" s="2719"/>
      <c r="J122" s="688"/>
      <c r="K122" s="485"/>
    </row>
    <row r="123" spans="1:11">
      <c r="A123" s="402"/>
      <c r="B123" s="667"/>
      <c r="C123" s="667"/>
      <c r="D123" s="667"/>
      <c r="E123" s="410"/>
      <c r="F123" s="668"/>
      <c r="G123" s="564"/>
      <c r="H123" s="561"/>
      <c r="I123" s="412"/>
      <c r="J123" s="562"/>
      <c r="K123" s="520"/>
    </row>
    <row r="124" spans="1:11">
      <c r="A124" s="534"/>
      <c r="B124" s="563"/>
      <c r="C124" s="480"/>
      <c r="D124" s="404"/>
      <c r="E124" s="683"/>
      <c r="F124" s="684" t="str">
        <f>"Antal elever 5/9 "&amp;budgetår</f>
        <v>Antal elever 5/9 2024</v>
      </c>
      <c r="G124" s="685" t="s">
        <v>246</v>
      </c>
      <c r="H124" s="686"/>
      <c r="I124" s="686"/>
      <c r="J124" s="687" t="s">
        <v>211</v>
      </c>
      <c r="K124" s="485"/>
    </row>
    <row r="125" spans="1:11" ht="19.5" customHeight="1">
      <c r="A125" s="413"/>
      <c r="B125" s="409" t="s">
        <v>235</v>
      </c>
      <c r="C125" s="414"/>
      <c r="D125" s="404"/>
      <c r="E125" s="406"/>
      <c r="F125" s="678">
        <f>Forside!G38</f>
        <v>0</v>
      </c>
      <c r="G125" s="679">
        <f>SatsBilag!B27</f>
        <v>8707</v>
      </c>
      <c r="H125" s="680"/>
      <c r="I125" s="681"/>
      <c r="J125" s="682">
        <f>F125*G125</f>
        <v>0</v>
      </c>
      <c r="K125" s="485"/>
    </row>
    <row r="126" spans="1:11" ht="19.5" customHeight="1" thickBot="1">
      <c r="A126" s="408"/>
      <c r="B126" s="415"/>
      <c r="C126" s="564"/>
      <c r="D126" s="404"/>
      <c r="E126" s="415" t="str">
        <f>"Ændringer 5/9 i "&amp;budgetår+1</f>
        <v>Ændringer 5/9 i 2025</v>
      </c>
      <c r="F126" s="407">
        <f>Forside!H38-Forside!G38</f>
        <v>0</v>
      </c>
      <c r="G126" s="407">
        <f>G125/12*5</f>
        <v>3627.916666666667</v>
      </c>
      <c r="H126" s="565"/>
      <c r="I126" s="566"/>
      <c r="J126" s="560">
        <f>F126*G126</f>
        <v>0</v>
      </c>
      <c r="K126" s="485"/>
    </row>
    <row r="127" spans="1:11" ht="17" thickBot="1">
      <c r="A127" s="572" t="s">
        <v>291</v>
      </c>
      <c r="B127" s="55"/>
      <c r="C127" s="56"/>
      <c r="D127" s="56"/>
      <c r="E127" s="56"/>
      <c r="F127" s="55"/>
      <c r="G127" s="56"/>
      <c r="H127" s="608"/>
      <c r="I127" s="608"/>
      <c r="J127" s="609"/>
      <c r="K127" s="575">
        <f>SUM(J111:J126)</f>
        <v>137755</v>
      </c>
    </row>
    <row r="128" spans="1:11" ht="16">
      <c r="A128" s="610"/>
      <c r="B128" s="69"/>
      <c r="C128" s="61"/>
      <c r="D128" s="61"/>
      <c r="E128" s="61"/>
      <c r="F128" s="70"/>
      <c r="G128" s="57"/>
      <c r="H128" s="611"/>
      <c r="I128" s="612"/>
      <c r="J128" s="613"/>
      <c r="K128" s="614"/>
    </row>
    <row r="129" spans="1:11">
      <c r="A129" s="480"/>
      <c r="B129" s="480"/>
      <c r="C129" s="480"/>
      <c r="D129" s="480"/>
      <c r="E129" s="480"/>
      <c r="F129" s="480"/>
      <c r="G129" s="480"/>
      <c r="H129" s="480"/>
      <c r="I129" s="480"/>
      <c r="J129" s="480"/>
      <c r="K129" s="480"/>
    </row>
    <row r="130" spans="1:11">
      <c r="A130" s="480"/>
      <c r="B130" s="480"/>
      <c r="C130" s="480"/>
      <c r="D130" s="480"/>
      <c r="E130" s="480"/>
      <c r="F130" s="480"/>
      <c r="G130" s="480"/>
      <c r="H130" s="480"/>
      <c r="I130" s="480"/>
      <c r="J130" s="480"/>
      <c r="K130" s="480"/>
    </row>
    <row r="131" spans="1:11">
      <c r="A131" s="480"/>
      <c r="B131" s="480"/>
      <c r="C131" s="480"/>
      <c r="D131" s="480"/>
      <c r="E131" s="480"/>
      <c r="F131" s="480"/>
      <c r="G131" s="480"/>
      <c r="H131" s="480"/>
      <c r="I131" s="480"/>
      <c r="J131" s="480"/>
      <c r="K131" s="480"/>
    </row>
  </sheetData>
  <sheetProtection sheet="1" objects="1" scenarios="1" formatCells="0" formatColumns="0" formatRows="0"/>
  <mergeCells count="35">
    <mergeCell ref="E113:F113"/>
    <mergeCell ref="G113:I113"/>
    <mergeCell ref="E114:F114"/>
    <mergeCell ref="G114:I114"/>
    <mergeCell ref="B121:D122"/>
    <mergeCell ref="E121:I122"/>
    <mergeCell ref="B118:D119"/>
    <mergeCell ref="E118:I118"/>
    <mergeCell ref="E119:I119"/>
    <mergeCell ref="C40:E40"/>
    <mergeCell ref="B15:B16"/>
    <mergeCell ref="B19:B21"/>
    <mergeCell ref="C19:E19"/>
    <mergeCell ref="C20:E20"/>
    <mergeCell ref="B35:B36"/>
    <mergeCell ref="C39:E39"/>
    <mergeCell ref="E51:F51"/>
    <mergeCell ref="E52:F52"/>
    <mergeCell ref="G51:I51"/>
    <mergeCell ref="G52:I52"/>
    <mergeCell ref="E49:I49"/>
    <mergeCell ref="E111:I111"/>
    <mergeCell ref="B54:D55"/>
    <mergeCell ref="B57:D58"/>
    <mergeCell ref="E54:I54"/>
    <mergeCell ref="E55:I55"/>
    <mergeCell ref="E57:I58"/>
    <mergeCell ref="C101:E101"/>
    <mergeCell ref="B78:B79"/>
    <mergeCell ref="B82:B84"/>
    <mergeCell ref="C82:E82"/>
    <mergeCell ref="C83:E83"/>
    <mergeCell ref="B96:B97"/>
    <mergeCell ref="C100:E100"/>
    <mergeCell ref="A91:C91"/>
  </mergeCells>
  <phoneticPr fontId="55" type="noConversion"/>
  <printOptions horizontalCentered="1" verticalCentered="1"/>
  <pageMargins left="0.78740157480314965" right="0.6692913385826772" top="0.98425196850393704" bottom="0.82677165354330717" header="0.51181102362204722" footer="0.51181102362204722"/>
  <pageSetup paperSize="9" scale="56" fitToHeight="0" orientation="portrait" horizontalDpi="4294967292" verticalDpi="4294967292"/>
  <headerFooter alignWithMargins="0">
    <oddHeader>&amp;C&amp;"Arial,Fed"&amp;12STATSTILSKUD</oddHeader>
    <oddFooter>&amp;L&amp;G&amp;R
&amp;D
&amp;A</oddFooter>
  </headerFooter>
  <rowBreaks count="1" manualBreakCount="1">
    <brk id="65" max="16383" man="1"/>
  </rowBreaks>
  <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4">
    <tabColor theme="6" tint="0.39997558519241921"/>
  </sheetPr>
  <dimension ref="A1:L152"/>
  <sheetViews>
    <sheetView topLeftCell="A90" zoomScale="179" zoomScaleNormal="100" workbookViewId="0">
      <selection activeCell="B20" sqref="B20"/>
    </sheetView>
  </sheetViews>
  <sheetFormatPr baseColWidth="10" defaultColWidth="10.83203125" defaultRowHeight="13"/>
  <cols>
    <col min="1" max="1" width="5.1640625" style="5" customWidth="1"/>
    <col min="2" max="2" width="12.6640625" style="5" customWidth="1"/>
    <col min="3" max="3" width="12" style="5" customWidth="1"/>
    <col min="4" max="9" width="11.1640625" style="5" customWidth="1"/>
    <col min="10" max="10" width="2.1640625" style="5" customWidth="1"/>
    <col min="11" max="16384" width="10.83203125" style="5"/>
  </cols>
  <sheetData>
    <row r="1" spans="1:11" s="142" customFormat="1" ht="26.25" customHeight="1" thickBot="1">
      <c r="H1" s="145"/>
    </row>
    <row r="2" spans="1:11" ht="21" thickBot="1">
      <c r="A2" s="2797" t="str">
        <f>"Skolepengeindtægter januar til juli " &amp; budgetår</f>
        <v>Skolepengeindtægter januar til juli 2024</v>
      </c>
      <c r="B2" s="2798"/>
      <c r="C2" s="2798"/>
      <c r="D2" s="2798"/>
      <c r="E2" s="2798"/>
      <c r="F2" s="2798"/>
      <c r="G2" s="2798"/>
      <c r="H2" s="2798"/>
      <c r="I2" s="2798"/>
      <c r="J2" s="2799"/>
    </row>
    <row r="3" spans="1:11" ht="21" thickBot="1">
      <c r="A3" s="2811" t="s">
        <v>1489</v>
      </c>
      <c r="B3" s="2812"/>
      <c r="C3" s="2461"/>
      <c r="D3" s="2813"/>
      <c r="E3" s="2798"/>
      <c r="F3" s="2798"/>
      <c r="G3" s="2798"/>
      <c r="H3" s="2798"/>
      <c r="I3" s="2798"/>
      <c r="J3" s="2799"/>
    </row>
    <row r="4" spans="1:11" s="22" customFormat="1">
      <c r="A4" s="2443"/>
      <c r="B4" s="2444" t="s">
        <v>84</v>
      </c>
      <c r="C4" s="852" t="s">
        <v>85</v>
      </c>
      <c r="D4" s="852" t="s">
        <v>86</v>
      </c>
      <c r="E4" s="852" t="s">
        <v>114</v>
      </c>
      <c r="F4" s="852" t="s">
        <v>115</v>
      </c>
      <c r="G4" s="852" t="s">
        <v>116</v>
      </c>
      <c r="H4" s="853" t="s">
        <v>117</v>
      </c>
      <c r="I4" s="2460"/>
      <c r="J4" s="773"/>
    </row>
    <row r="5" spans="1:11" s="24" customFormat="1" ht="39" customHeight="1">
      <c r="A5" s="2445" t="s">
        <v>118</v>
      </c>
      <c r="B5" s="2446" t="s">
        <v>142</v>
      </c>
      <c r="C5" s="2480" t="s">
        <v>143</v>
      </c>
      <c r="D5" s="2447" t="s">
        <v>136</v>
      </c>
      <c r="E5" s="2447" t="s">
        <v>137</v>
      </c>
      <c r="F5" s="2480" t="s">
        <v>138</v>
      </c>
      <c r="G5" s="2447" t="s">
        <v>139</v>
      </c>
      <c r="H5" s="2448" t="s">
        <v>140</v>
      </c>
      <c r="I5" s="2449"/>
      <c r="J5" s="770"/>
    </row>
    <row r="6" spans="1:11" ht="18" customHeight="1">
      <c r="A6" s="2450" t="s">
        <v>141</v>
      </c>
      <c r="B6" s="2471"/>
      <c r="C6" s="2481"/>
      <c r="D6" s="2476">
        <f t="shared" ref="D6:D15" si="0">B6-C6</f>
        <v>0</v>
      </c>
      <c r="E6" s="2487"/>
      <c r="F6" s="2496"/>
      <c r="G6" s="2492">
        <f t="shared" ref="G6:G15" si="1">D6*E6*F6</f>
        <v>0</v>
      </c>
      <c r="H6" s="615">
        <f t="shared" ref="H6:H15" si="2">C6*E6*F6</f>
        <v>0</v>
      </c>
      <c r="I6" s="2342"/>
      <c r="J6" s="749"/>
    </row>
    <row r="7" spans="1:11" ht="18" customHeight="1">
      <c r="A7" s="2450" t="s">
        <v>287</v>
      </c>
      <c r="B7" s="2472"/>
      <c r="C7" s="2482"/>
      <c r="D7" s="2476">
        <f t="shared" si="0"/>
        <v>0</v>
      </c>
      <c r="E7" s="2487"/>
      <c r="F7" s="2497"/>
      <c r="G7" s="2492">
        <f t="shared" si="1"/>
        <v>0</v>
      </c>
      <c r="H7" s="615">
        <f t="shared" si="2"/>
        <v>0</v>
      </c>
      <c r="I7" s="2342"/>
      <c r="J7" s="749"/>
    </row>
    <row r="8" spans="1:11" ht="18" customHeight="1">
      <c r="A8" s="2450" t="s">
        <v>250</v>
      </c>
      <c r="B8" s="2472"/>
      <c r="C8" s="2482"/>
      <c r="D8" s="2476">
        <f t="shared" si="0"/>
        <v>0</v>
      </c>
      <c r="E8" s="2487"/>
      <c r="F8" s="2497"/>
      <c r="G8" s="2492">
        <f t="shared" si="1"/>
        <v>0</v>
      </c>
      <c r="H8" s="615">
        <f t="shared" si="2"/>
        <v>0</v>
      </c>
      <c r="I8" s="2342"/>
      <c r="J8" s="749"/>
    </row>
    <row r="9" spans="1:11" ht="18" customHeight="1">
      <c r="A9" s="2451" t="s">
        <v>251</v>
      </c>
      <c r="B9" s="2472"/>
      <c r="C9" s="2483"/>
      <c r="D9" s="2476">
        <f t="shared" si="0"/>
        <v>0</v>
      </c>
      <c r="E9" s="2488"/>
      <c r="F9" s="2497"/>
      <c r="G9" s="2492">
        <f t="shared" si="1"/>
        <v>0</v>
      </c>
      <c r="H9" s="615">
        <f t="shared" si="2"/>
        <v>0</v>
      </c>
      <c r="I9" s="2342"/>
      <c r="J9" s="749"/>
    </row>
    <row r="10" spans="1:11" ht="18" customHeight="1">
      <c r="A10" s="2451" t="s">
        <v>896</v>
      </c>
      <c r="B10" s="2472"/>
      <c r="C10" s="2483"/>
      <c r="D10" s="2476">
        <f t="shared" si="0"/>
        <v>0</v>
      </c>
      <c r="E10" s="2488"/>
      <c r="F10" s="2497"/>
      <c r="G10" s="2492">
        <f t="shared" si="1"/>
        <v>0</v>
      </c>
      <c r="H10" s="615">
        <f t="shared" si="2"/>
        <v>0</v>
      </c>
      <c r="I10" s="2342"/>
      <c r="J10" s="749"/>
    </row>
    <row r="11" spans="1:11" ht="18" customHeight="1">
      <c r="A11" s="2451" t="s">
        <v>897</v>
      </c>
      <c r="B11" s="2472"/>
      <c r="C11" s="2483"/>
      <c r="D11" s="2476">
        <f t="shared" si="0"/>
        <v>0</v>
      </c>
      <c r="E11" s="2488"/>
      <c r="F11" s="2497"/>
      <c r="G11" s="2492">
        <f t="shared" si="1"/>
        <v>0</v>
      </c>
      <c r="H11" s="615">
        <f t="shared" si="2"/>
        <v>0</v>
      </c>
      <c r="I11" s="2342"/>
      <c r="J11" s="749"/>
    </row>
    <row r="12" spans="1:11" ht="18" customHeight="1">
      <c r="A12" s="2451" t="s">
        <v>1082</v>
      </c>
      <c r="B12" s="2473"/>
      <c r="C12" s="2484"/>
      <c r="D12" s="2477">
        <f t="shared" si="0"/>
        <v>0</v>
      </c>
      <c r="E12" s="2489"/>
      <c r="F12" s="2498"/>
      <c r="G12" s="2493">
        <f t="shared" si="1"/>
        <v>0</v>
      </c>
      <c r="H12" s="915">
        <f t="shared" si="2"/>
        <v>0</v>
      </c>
      <c r="I12" s="2342"/>
      <c r="J12" s="749"/>
    </row>
    <row r="13" spans="1:11" ht="18" customHeight="1">
      <c r="A13" s="2452" t="s">
        <v>1083</v>
      </c>
      <c r="B13" s="2474"/>
      <c r="C13" s="2485"/>
      <c r="D13" s="2478">
        <f t="shared" si="0"/>
        <v>0</v>
      </c>
      <c r="E13" s="2490"/>
      <c r="F13" s="2497"/>
      <c r="G13" s="2492">
        <f t="shared" si="1"/>
        <v>0</v>
      </c>
      <c r="H13" s="914">
        <f t="shared" si="2"/>
        <v>0</v>
      </c>
      <c r="I13" s="2342"/>
      <c r="J13" s="749"/>
    </row>
    <row r="14" spans="1:11" ht="18" customHeight="1">
      <c r="A14" s="2452" t="s">
        <v>1400</v>
      </c>
      <c r="B14" s="2472"/>
      <c r="C14" s="2482"/>
      <c r="D14" s="2476">
        <f t="shared" si="0"/>
        <v>0</v>
      </c>
      <c r="E14" s="2487"/>
      <c r="F14" s="2497"/>
      <c r="G14" s="2492">
        <f t="shared" si="1"/>
        <v>0</v>
      </c>
      <c r="H14" s="615">
        <f t="shared" si="2"/>
        <v>0</v>
      </c>
      <c r="I14" s="2342"/>
      <c r="J14" s="749"/>
    </row>
    <row r="15" spans="1:11" ht="18" customHeight="1">
      <c r="A15" s="2452" t="s">
        <v>1401</v>
      </c>
      <c r="B15" s="2475"/>
      <c r="C15" s="2486"/>
      <c r="D15" s="2479">
        <f t="shared" si="0"/>
        <v>0</v>
      </c>
      <c r="E15" s="2491"/>
      <c r="F15" s="2499"/>
      <c r="G15" s="2494">
        <f t="shared" si="1"/>
        <v>0</v>
      </c>
      <c r="H15" s="616">
        <f t="shared" si="2"/>
        <v>0</v>
      </c>
      <c r="I15" s="2342"/>
      <c r="J15" s="749"/>
    </row>
    <row r="16" spans="1:11" ht="18" customHeight="1" thickBot="1">
      <c r="A16" s="2453" t="s">
        <v>296</v>
      </c>
      <c r="B16" s="2454"/>
      <c r="C16" s="2454"/>
      <c r="D16" s="2454"/>
      <c r="E16" s="2455">
        <f>SUM(E6:E15)</f>
        <v>0</v>
      </c>
      <c r="F16" s="2495"/>
      <c r="G16" s="2456">
        <f>SUM(G6:G15)</f>
        <v>0</v>
      </c>
      <c r="H16" s="2457">
        <f>SUM(H6:H15)</f>
        <v>0</v>
      </c>
      <c r="I16" s="2458"/>
      <c r="J16" s="2459"/>
      <c r="K16" s="748" t="str">
        <f>IF(E16&lt;&gt;elevtal_1,"Elevtal ikke lig med antal elever tastet på forsiden","")</f>
        <v/>
      </c>
    </row>
    <row r="17" spans="1:11" ht="21" thickBot="1">
      <c r="A17" s="2800" t="str">
        <f>"Skolepengeindtægter aug til december " &amp;budgetår</f>
        <v>Skolepengeindtægter aug til december 2024</v>
      </c>
      <c r="B17" s="2801"/>
      <c r="C17" s="2801"/>
      <c r="D17" s="2801"/>
      <c r="E17" s="2801"/>
      <c r="F17" s="2801"/>
      <c r="G17" s="2801"/>
      <c r="H17" s="2801"/>
      <c r="I17" s="2801"/>
      <c r="J17" s="2802"/>
    </row>
    <row r="18" spans="1:11">
      <c r="A18" s="849"/>
      <c r="B18" s="852" t="s">
        <v>84</v>
      </c>
      <c r="C18" s="852" t="s">
        <v>85</v>
      </c>
      <c r="D18" s="852" t="s">
        <v>86</v>
      </c>
      <c r="E18" s="852" t="s">
        <v>114</v>
      </c>
      <c r="F18" s="852" t="s">
        <v>115</v>
      </c>
      <c r="G18" s="852" t="s">
        <v>116</v>
      </c>
      <c r="H18" s="853" t="s">
        <v>117</v>
      </c>
      <c r="I18" s="750"/>
      <c r="J18" s="749"/>
    </row>
    <row r="19" spans="1:11" s="22" customFormat="1" ht="42">
      <c r="A19" s="769"/>
      <c r="B19" s="2504" t="s">
        <v>142</v>
      </c>
      <c r="C19" s="2480" t="s">
        <v>143</v>
      </c>
      <c r="D19" s="2480" t="s">
        <v>136</v>
      </c>
      <c r="E19" s="2480" t="s">
        <v>137</v>
      </c>
      <c r="F19" s="2480" t="s">
        <v>138</v>
      </c>
      <c r="G19" s="49" t="s">
        <v>139</v>
      </c>
      <c r="H19" s="80" t="s">
        <v>140</v>
      </c>
      <c r="I19" s="772"/>
      <c r="J19" s="773"/>
    </row>
    <row r="20" spans="1:11" s="24" customFormat="1" ht="16.5" customHeight="1">
      <c r="A20" s="771" t="s">
        <v>141</v>
      </c>
      <c r="B20" s="2481"/>
      <c r="C20" s="2481"/>
      <c r="D20" s="2505">
        <f t="shared" ref="D20:D29" si="3">B20-C20</f>
        <v>0</v>
      </c>
      <c r="E20" s="2496"/>
      <c r="F20" s="2496"/>
      <c r="G20" s="2492">
        <f t="shared" ref="G20:G29" si="4">D20*E20*F20</f>
        <v>0</v>
      </c>
      <c r="H20" s="615">
        <f t="shared" ref="H20:H29" si="5">C20*E20*F20</f>
        <v>0</v>
      </c>
      <c r="I20" s="774"/>
      <c r="J20" s="770"/>
    </row>
    <row r="21" spans="1:11" ht="16.5" customHeight="1">
      <c r="A21" s="771" t="s">
        <v>287</v>
      </c>
      <c r="B21" s="2482"/>
      <c r="C21" s="2482"/>
      <c r="D21" s="2506">
        <f t="shared" si="3"/>
        <v>0</v>
      </c>
      <c r="E21" s="2497"/>
      <c r="F21" s="2497"/>
      <c r="G21" s="2492">
        <f t="shared" si="4"/>
        <v>0</v>
      </c>
      <c r="H21" s="615">
        <f t="shared" si="5"/>
        <v>0</v>
      </c>
      <c r="I21" s="760"/>
      <c r="J21" s="775"/>
      <c r="K21" s="51"/>
    </row>
    <row r="22" spans="1:11" ht="16.5" customHeight="1">
      <c r="A22" s="771" t="s">
        <v>250</v>
      </c>
      <c r="B22" s="2482"/>
      <c r="C22" s="2482"/>
      <c r="D22" s="2506">
        <f t="shared" si="3"/>
        <v>0</v>
      </c>
      <c r="E22" s="2497"/>
      <c r="F22" s="2497"/>
      <c r="G22" s="2492">
        <f t="shared" si="4"/>
        <v>0</v>
      </c>
      <c r="H22" s="615">
        <f t="shared" si="5"/>
        <v>0</v>
      </c>
      <c r="I22" s="760"/>
      <c r="J22" s="749"/>
      <c r="K22" s="52"/>
    </row>
    <row r="23" spans="1:11" ht="16.5" customHeight="1">
      <c r="A23" s="771" t="s">
        <v>251</v>
      </c>
      <c r="B23" s="2484"/>
      <c r="C23" s="2500"/>
      <c r="D23" s="2507">
        <f t="shared" si="3"/>
        <v>0</v>
      </c>
      <c r="E23" s="2503"/>
      <c r="F23" s="2503"/>
      <c r="G23" s="2502">
        <f t="shared" si="4"/>
        <v>0</v>
      </c>
      <c r="H23" s="913">
        <f t="shared" si="5"/>
        <v>0</v>
      </c>
      <c r="I23" s="760"/>
      <c r="J23" s="775"/>
      <c r="K23" s="51"/>
    </row>
    <row r="24" spans="1:11" ht="16.5" customHeight="1">
      <c r="A24" s="867" t="s">
        <v>896</v>
      </c>
      <c r="B24" s="2482"/>
      <c r="C24" s="2482"/>
      <c r="D24" s="2506">
        <f t="shared" si="3"/>
        <v>0</v>
      </c>
      <c r="E24" s="2497"/>
      <c r="F24" s="2497"/>
      <c r="G24" s="2492">
        <f t="shared" si="4"/>
        <v>0</v>
      </c>
      <c r="H24" s="615">
        <f t="shared" si="5"/>
        <v>0</v>
      </c>
      <c r="I24" s="760"/>
      <c r="J24" s="775"/>
      <c r="K24" s="51"/>
    </row>
    <row r="25" spans="1:11" ht="16.5" customHeight="1">
      <c r="A25" s="867" t="s">
        <v>897</v>
      </c>
      <c r="B25" s="2482"/>
      <c r="C25" s="2482"/>
      <c r="D25" s="2506">
        <f t="shared" si="3"/>
        <v>0</v>
      </c>
      <c r="E25" s="2497"/>
      <c r="F25" s="2497"/>
      <c r="G25" s="2492">
        <f t="shared" si="4"/>
        <v>0</v>
      </c>
      <c r="H25" s="615">
        <f t="shared" si="5"/>
        <v>0</v>
      </c>
      <c r="I25" s="760"/>
      <c r="J25" s="749"/>
      <c r="K25" s="52"/>
    </row>
    <row r="26" spans="1:11" ht="16.5" customHeight="1">
      <c r="A26" s="2343" t="s">
        <v>1082</v>
      </c>
      <c r="B26" s="2501"/>
      <c r="C26" s="2501"/>
      <c r="D26" s="2506">
        <f t="shared" si="3"/>
        <v>0</v>
      </c>
      <c r="E26" s="2503"/>
      <c r="F26" s="2503"/>
      <c r="G26" s="2492">
        <f t="shared" ref="G26:G28" si="6">D26*E26*F26</f>
        <v>0</v>
      </c>
      <c r="H26" s="615">
        <f t="shared" ref="H26:H28" si="7">C26*E26*F26</f>
        <v>0</v>
      </c>
      <c r="I26" s="2342"/>
      <c r="J26" s="749"/>
      <c r="K26" s="52"/>
    </row>
    <row r="27" spans="1:11" ht="16.5" customHeight="1">
      <c r="A27" s="2343" t="s">
        <v>1083</v>
      </c>
      <c r="B27" s="2501"/>
      <c r="C27" s="2501"/>
      <c r="D27" s="2506">
        <f t="shared" si="3"/>
        <v>0</v>
      </c>
      <c r="E27" s="2503"/>
      <c r="F27" s="2503"/>
      <c r="G27" s="2492">
        <f t="shared" si="6"/>
        <v>0</v>
      </c>
      <c r="H27" s="615">
        <f t="shared" si="7"/>
        <v>0</v>
      </c>
      <c r="I27" s="2342"/>
      <c r="J27" s="749"/>
      <c r="K27" s="52"/>
    </row>
    <row r="28" spans="1:11" ht="16.5" customHeight="1">
      <c r="A28" s="2343" t="s">
        <v>1400</v>
      </c>
      <c r="B28" s="2501"/>
      <c r="C28" s="2501"/>
      <c r="D28" s="2506">
        <f t="shared" si="3"/>
        <v>0</v>
      </c>
      <c r="E28" s="2503"/>
      <c r="F28" s="2503"/>
      <c r="G28" s="2492">
        <f t="shared" si="6"/>
        <v>0</v>
      </c>
      <c r="H28" s="615">
        <f t="shared" si="7"/>
        <v>0</v>
      </c>
      <c r="I28" s="2342"/>
      <c r="J28" s="749"/>
      <c r="K28" s="52"/>
    </row>
    <row r="29" spans="1:11" ht="16.5" customHeight="1" thickBot="1">
      <c r="A29" s="2343" t="s">
        <v>1401</v>
      </c>
      <c r="B29" s="2509"/>
      <c r="C29" s="2509"/>
      <c r="D29" s="2507">
        <f t="shared" si="3"/>
        <v>0</v>
      </c>
      <c r="E29" s="2503"/>
      <c r="F29" s="2503"/>
      <c r="G29" s="2502">
        <f t="shared" si="4"/>
        <v>0</v>
      </c>
      <c r="H29" s="2510">
        <f t="shared" si="5"/>
        <v>0</v>
      </c>
      <c r="I29" s="2342"/>
      <c r="J29" s="775"/>
      <c r="K29" s="51"/>
    </row>
    <row r="30" spans="1:11" ht="16.5" customHeight="1" thickBot="1">
      <c r="A30" s="2508" t="s">
        <v>296</v>
      </c>
      <c r="B30" s="2511"/>
      <c r="C30" s="2512"/>
      <c r="D30" s="2512"/>
      <c r="E30" s="2513">
        <f>SUM(E20:E29)</f>
        <v>0</v>
      </c>
      <c r="F30" s="2514"/>
      <c r="G30" s="2515">
        <f>SUM(G20:G29)</f>
        <v>0</v>
      </c>
      <c r="H30" s="2516">
        <f>SUM(H20:H29)</f>
        <v>0</v>
      </c>
      <c r="I30" s="828">
        <f>G16+G30</f>
        <v>0</v>
      </c>
      <c r="J30" s="749"/>
      <c r="K30" s="748" t="str">
        <f>IF(E30&lt;&gt;Elevtal,"Elevtal ikke lig med antal elever tastet på forsiden","")</f>
        <v/>
      </c>
    </row>
    <row r="31" spans="1:11" ht="16.5" customHeight="1" thickBot="1">
      <c r="A31" s="750"/>
      <c r="B31" s="824" t="s">
        <v>889</v>
      </c>
      <c r="C31" s="824"/>
      <c r="D31" s="811"/>
      <c r="E31" s="812"/>
      <c r="F31" s="811"/>
      <c r="G31" s="813"/>
      <c r="H31" s="813"/>
      <c r="I31" s="907"/>
      <c r="J31" s="749"/>
      <c r="K31" s="748"/>
    </row>
    <row r="32" spans="1:11" ht="12" customHeight="1" thickBot="1">
      <c r="A32" s="750"/>
      <c r="B32" s="825" t="s">
        <v>888</v>
      </c>
      <c r="C32" s="824"/>
      <c r="D32" s="811"/>
      <c r="E32" s="812"/>
      <c r="F32" s="811"/>
      <c r="G32" s="813"/>
      <c r="H32" s="813"/>
      <c r="I32" s="814"/>
      <c r="J32" s="749"/>
      <c r="K32" s="748"/>
    </row>
    <row r="33" spans="1:11" ht="16.5" customHeight="1" thickBot="1">
      <c r="A33" s="750"/>
      <c r="B33" s="886" t="s">
        <v>911</v>
      </c>
      <c r="C33" s="824"/>
      <c r="D33" s="811"/>
      <c r="E33" s="812"/>
      <c r="F33" s="811"/>
      <c r="G33" s="813"/>
      <c r="H33" s="813"/>
      <c r="I33" s="908"/>
      <c r="J33" s="749"/>
      <c r="K33" s="748"/>
    </row>
    <row r="34" spans="1:11" ht="17" thickBot="1">
      <c r="A34" s="776"/>
      <c r="B34" s="2806" t="str">
        <f>"Skolepenge i alt til hovedskema lin. 15"</f>
        <v>Skolepenge i alt til hovedskema lin. 15</v>
      </c>
      <c r="C34" s="2806"/>
      <c r="D34" s="2806"/>
      <c r="E34" s="2806"/>
      <c r="F34" s="2807"/>
      <c r="G34" s="765">
        <f>G16+G30+I33+I31</f>
        <v>0</v>
      </c>
      <c r="H34" s="766">
        <f>H16+H30</f>
        <v>0</v>
      </c>
      <c r="I34" s="767">
        <f>I30+I31+I33</f>
        <v>0</v>
      </c>
      <c r="J34" s="768"/>
      <c r="K34" s="840"/>
    </row>
    <row r="35" spans="1:11" ht="16.5" customHeight="1" thickBot="1">
      <c r="A35" s="816"/>
      <c r="B35" s="751"/>
      <c r="C35" s="752"/>
      <c r="D35" s="752"/>
      <c r="E35" s="752"/>
      <c r="F35" s="753"/>
      <c r="G35" s="754"/>
      <c r="H35" s="754"/>
      <c r="I35" s="755"/>
    </row>
    <row r="36" spans="1:11" ht="18" customHeight="1" thickBot="1">
      <c r="A36" s="2797" t="str">
        <f>"Indtægter vedrørende SFO (0. - 3. klasse) januar til juli "&amp;budgetår</f>
        <v>Indtægter vedrørende SFO (0. - 3. klasse) januar til juli 2024</v>
      </c>
      <c r="B36" s="2798"/>
      <c r="C36" s="2798"/>
      <c r="D36" s="2798"/>
      <c r="E36" s="2798"/>
      <c r="F36" s="2798"/>
      <c r="G36" s="2798"/>
      <c r="H36" s="2798"/>
      <c r="I36" s="2798"/>
      <c r="J36" s="2799"/>
    </row>
    <row r="37" spans="1:11" ht="21" thickBot="1">
      <c r="A37" s="2811" t="s">
        <v>1489</v>
      </c>
      <c r="B37" s="2812"/>
      <c r="C37" s="2461"/>
      <c r="D37" s="2813"/>
      <c r="E37" s="2798"/>
      <c r="F37" s="2798"/>
      <c r="G37" s="2798"/>
      <c r="H37" s="2798"/>
      <c r="I37" s="2798"/>
      <c r="J37" s="2799"/>
    </row>
    <row r="38" spans="1:11" ht="18" customHeight="1">
      <c r="A38" s="2462"/>
      <c r="B38" s="850" t="s">
        <v>84</v>
      </c>
      <c r="C38" s="850" t="s">
        <v>85</v>
      </c>
      <c r="D38" s="850" t="s">
        <v>86</v>
      </c>
      <c r="E38" s="850" t="s">
        <v>114</v>
      </c>
      <c r="F38" s="850" t="s">
        <v>115</v>
      </c>
      <c r="G38" s="850" t="s">
        <v>116</v>
      </c>
      <c r="H38" s="851" t="s">
        <v>117</v>
      </c>
      <c r="I38" s="2463"/>
      <c r="J38" s="749"/>
    </row>
    <row r="39" spans="1:11" ht="42">
      <c r="A39" s="81"/>
      <c r="B39" s="23" t="s">
        <v>297</v>
      </c>
      <c r="C39" s="2519" t="s">
        <v>143</v>
      </c>
      <c r="D39" s="2519" t="s">
        <v>298</v>
      </c>
      <c r="E39" s="1104" t="s">
        <v>137</v>
      </c>
      <c r="F39" s="2519" t="s">
        <v>299</v>
      </c>
      <c r="G39" s="23" t="s">
        <v>247</v>
      </c>
      <c r="H39" s="78" t="s">
        <v>140</v>
      </c>
      <c r="I39" s="750"/>
      <c r="J39" s="749"/>
    </row>
    <row r="40" spans="1:11" ht="16.5" customHeight="1">
      <c r="A40" s="771" t="s">
        <v>141</v>
      </c>
      <c r="B40" s="2517"/>
      <c r="C40" s="2525"/>
      <c r="D40" s="2520">
        <f t="shared" ref="D40:D49" si="8">B40-C40</f>
        <v>0</v>
      </c>
      <c r="E40" s="2523"/>
      <c r="F40" s="2525"/>
      <c r="G40" s="2524">
        <f t="shared" ref="G40:G49" si="9">D40*E40*F40</f>
        <v>0</v>
      </c>
      <c r="H40" s="79">
        <f t="shared" ref="H40:H49" si="10">C40*E40*F40</f>
        <v>0</v>
      </c>
      <c r="I40" s="760"/>
      <c r="J40" s="749"/>
    </row>
    <row r="41" spans="1:11" ht="16.5" customHeight="1">
      <c r="A41" s="771" t="s">
        <v>287</v>
      </c>
      <c r="B41" s="2517"/>
      <c r="C41" s="2526"/>
      <c r="D41" s="2521">
        <f t="shared" si="8"/>
        <v>0</v>
      </c>
      <c r="E41" s="2523"/>
      <c r="F41" s="2526"/>
      <c r="G41" s="2524">
        <f t="shared" si="9"/>
        <v>0</v>
      </c>
      <c r="H41" s="79">
        <f t="shared" si="10"/>
        <v>0</v>
      </c>
      <c r="I41" s="760"/>
      <c r="J41" s="749"/>
    </row>
    <row r="42" spans="1:11" ht="16.5" customHeight="1">
      <c r="A42" s="771" t="s">
        <v>250</v>
      </c>
      <c r="B42" s="2517"/>
      <c r="C42" s="2526"/>
      <c r="D42" s="2521">
        <f t="shared" si="8"/>
        <v>0</v>
      </c>
      <c r="E42" s="2523"/>
      <c r="F42" s="2526"/>
      <c r="G42" s="2524">
        <f t="shared" si="9"/>
        <v>0</v>
      </c>
      <c r="H42" s="79">
        <f t="shared" si="10"/>
        <v>0</v>
      </c>
      <c r="I42" s="760"/>
      <c r="J42" s="749"/>
    </row>
    <row r="43" spans="1:11" ht="16.5" customHeight="1">
      <c r="A43" s="771" t="s">
        <v>251</v>
      </c>
      <c r="B43" s="2517"/>
      <c r="C43" s="2526"/>
      <c r="D43" s="2521">
        <f>B43-C43</f>
        <v>0</v>
      </c>
      <c r="E43" s="2523"/>
      <c r="F43" s="2526"/>
      <c r="G43" s="2524">
        <f>D43*E43*F43</f>
        <v>0</v>
      </c>
      <c r="H43" s="79">
        <f>C43*E43*F43</f>
        <v>0</v>
      </c>
      <c r="I43" s="760"/>
      <c r="J43" s="749"/>
    </row>
    <row r="44" spans="1:11" ht="17" customHeight="1">
      <c r="A44" s="867" t="s">
        <v>896</v>
      </c>
      <c r="B44" s="2517"/>
      <c r="C44" s="2526"/>
      <c r="D44" s="2521">
        <f>B44-C44</f>
        <v>0</v>
      </c>
      <c r="E44" s="2523"/>
      <c r="F44" s="2526"/>
      <c r="G44" s="2524">
        <f>D44*E44*F44</f>
        <v>0</v>
      </c>
      <c r="H44" s="79">
        <f>C44*E44*F44</f>
        <v>0</v>
      </c>
      <c r="I44" s="760"/>
      <c r="J44" s="749"/>
    </row>
    <row r="45" spans="1:11" ht="16.5" customHeight="1">
      <c r="A45" s="867" t="s">
        <v>897</v>
      </c>
      <c r="B45" s="2517"/>
      <c r="C45" s="2526"/>
      <c r="D45" s="2521">
        <f t="shared" si="8"/>
        <v>0</v>
      </c>
      <c r="E45" s="2523"/>
      <c r="F45" s="2526"/>
      <c r="G45" s="2524">
        <f t="shared" si="9"/>
        <v>0</v>
      </c>
      <c r="H45" s="79">
        <f t="shared" si="10"/>
        <v>0</v>
      </c>
      <c r="I45" s="760"/>
      <c r="J45" s="749"/>
    </row>
    <row r="46" spans="1:11" ht="16.5" customHeight="1">
      <c r="A46" s="2343" t="s">
        <v>1082</v>
      </c>
      <c r="B46" s="2517"/>
      <c r="C46" s="2526"/>
      <c r="D46" s="2521">
        <f t="shared" si="8"/>
        <v>0</v>
      </c>
      <c r="E46" s="2523"/>
      <c r="F46" s="2526"/>
      <c r="G46" s="2524">
        <f t="shared" ref="G46:G48" si="11">D46*E46*F46</f>
        <v>0</v>
      </c>
      <c r="H46" s="79">
        <f t="shared" ref="H46:H48" si="12">C46*E46*F46</f>
        <v>0</v>
      </c>
      <c r="I46" s="2342"/>
      <c r="J46" s="749"/>
    </row>
    <row r="47" spans="1:11" ht="16.5" customHeight="1">
      <c r="A47" s="2343" t="s">
        <v>1083</v>
      </c>
      <c r="B47" s="2517"/>
      <c r="C47" s="2526"/>
      <c r="D47" s="2521">
        <f t="shared" si="8"/>
        <v>0</v>
      </c>
      <c r="E47" s="2523"/>
      <c r="F47" s="2526"/>
      <c r="G47" s="2524">
        <f t="shared" si="11"/>
        <v>0</v>
      </c>
      <c r="H47" s="79">
        <f t="shared" si="12"/>
        <v>0</v>
      </c>
      <c r="I47" s="2342"/>
      <c r="J47" s="749"/>
    </row>
    <row r="48" spans="1:11" ht="16.5" customHeight="1">
      <c r="A48" s="2343" t="s">
        <v>1400</v>
      </c>
      <c r="B48" s="2517"/>
      <c r="C48" s="2526"/>
      <c r="D48" s="2521">
        <f t="shared" si="8"/>
        <v>0</v>
      </c>
      <c r="E48" s="2523"/>
      <c r="F48" s="2526"/>
      <c r="G48" s="2524">
        <f t="shared" si="11"/>
        <v>0</v>
      </c>
      <c r="H48" s="79">
        <f t="shared" si="12"/>
        <v>0</v>
      </c>
      <c r="I48" s="2342"/>
      <c r="J48" s="749"/>
    </row>
    <row r="49" spans="1:11" s="14" customFormat="1">
      <c r="A49" s="2344" t="s">
        <v>1401</v>
      </c>
      <c r="B49" s="2517"/>
      <c r="C49" s="2486"/>
      <c r="D49" s="2522">
        <f t="shared" si="8"/>
        <v>0</v>
      </c>
      <c r="E49" s="2523"/>
      <c r="F49" s="2486"/>
      <c r="G49" s="2524">
        <f t="shared" si="9"/>
        <v>0</v>
      </c>
      <c r="H49" s="79">
        <f t="shared" si="10"/>
        <v>0</v>
      </c>
      <c r="I49" s="761"/>
      <c r="J49" s="762"/>
    </row>
    <row r="50" spans="1:11" ht="18" customHeight="1" thickBot="1">
      <c r="A50" s="818" t="s">
        <v>296</v>
      </c>
      <c r="B50" s="819"/>
      <c r="C50" s="819"/>
      <c r="D50" s="819"/>
      <c r="E50" s="820">
        <f>SUM(E40:E49)</f>
        <v>0</v>
      </c>
      <c r="F50" s="2495"/>
      <c r="G50" s="821">
        <f>SUM(G40:G49)</f>
        <v>0</v>
      </c>
      <c r="H50" s="822">
        <f>SUM(H40:H49)</f>
        <v>0</v>
      </c>
      <c r="I50" s="823"/>
      <c r="J50" s="768"/>
      <c r="K50" s="748" t="str">
        <f>IF(E50&lt;&gt;SUM(Forside!E38),"SFO-børn ikke lig med antal SFO-børn tastet på forsiden","")</f>
        <v/>
      </c>
    </row>
    <row r="51" spans="1:11" ht="18" customHeight="1" thickBot="1">
      <c r="A51" s="2803" t="str">
        <f>"Indtægter vedrørende SFO (0. - 3. klasse) august til december "&amp;budgetår</f>
        <v>Indtægter vedrørende SFO (0. - 3. klasse) august til december 2024</v>
      </c>
      <c r="B51" s="2804"/>
      <c r="C51" s="2804"/>
      <c r="D51" s="2804"/>
      <c r="E51" s="2804"/>
      <c r="F51" s="2804"/>
      <c r="G51" s="2804"/>
      <c r="H51" s="2804"/>
      <c r="I51" s="2804"/>
      <c r="J51" s="2805"/>
    </row>
    <row r="52" spans="1:11" ht="18" customHeight="1">
      <c r="A52" s="617"/>
      <c r="B52" s="21" t="s">
        <v>84</v>
      </c>
      <c r="C52" s="21" t="s">
        <v>85</v>
      </c>
      <c r="D52" s="21" t="s">
        <v>86</v>
      </c>
      <c r="E52" s="21" t="s">
        <v>114</v>
      </c>
      <c r="F52" s="21" t="s">
        <v>115</v>
      </c>
      <c r="G52" s="21" t="s">
        <v>116</v>
      </c>
      <c r="H52" s="77" t="s">
        <v>117</v>
      </c>
      <c r="I52" s="757"/>
      <c r="J52" s="758"/>
    </row>
    <row r="53" spans="1:11" ht="42">
      <c r="A53" s="81"/>
      <c r="B53" s="23" t="s">
        <v>297</v>
      </c>
      <c r="C53" s="23" t="s">
        <v>143</v>
      </c>
      <c r="D53" s="23" t="s">
        <v>298</v>
      </c>
      <c r="E53" s="2519" t="s">
        <v>137</v>
      </c>
      <c r="F53" s="23" t="s">
        <v>299</v>
      </c>
      <c r="G53" s="23" t="s">
        <v>247</v>
      </c>
      <c r="H53" s="78" t="s">
        <v>140</v>
      </c>
      <c r="I53" s="750"/>
      <c r="J53" s="749"/>
    </row>
    <row r="54" spans="1:11" ht="17" customHeight="1">
      <c r="A54" s="771" t="s">
        <v>141</v>
      </c>
      <c r="B54" s="417"/>
      <c r="C54" s="417"/>
      <c r="D54" s="2527">
        <f t="shared" ref="D54:D63" si="13">B54-C54</f>
        <v>0</v>
      </c>
      <c r="E54" s="2525"/>
      <c r="F54" s="2518"/>
      <c r="G54" s="71">
        <f t="shared" ref="G54:G63" si="14">D54*E54*F54</f>
        <v>0</v>
      </c>
      <c r="H54" s="79">
        <f t="shared" ref="H54:H63" si="15">C54*E54*F54</f>
        <v>0</v>
      </c>
      <c r="I54" s="760"/>
      <c r="J54" s="749"/>
    </row>
    <row r="55" spans="1:11" ht="16.5" customHeight="1">
      <c r="A55" s="771" t="s">
        <v>287</v>
      </c>
      <c r="B55" s="417"/>
      <c r="C55" s="417"/>
      <c r="D55" s="2527">
        <f>B55-C55</f>
        <v>0</v>
      </c>
      <c r="E55" s="2526"/>
      <c r="F55" s="2518"/>
      <c r="G55" s="71">
        <f>D55*E55*F55</f>
        <v>0</v>
      </c>
      <c r="H55" s="79">
        <f>C55*E55*F55</f>
        <v>0</v>
      </c>
      <c r="I55" s="760"/>
      <c r="J55" s="749"/>
    </row>
    <row r="56" spans="1:11" ht="16.5" customHeight="1">
      <c r="A56" s="771" t="s">
        <v>250</v>
      </c>
      <c r="B56" s="417"/>
      <c r="C56" s="417"/>
      <c r="D56" s="2527">
        <f>B56-C56</f>
        <v>0</v>
      </c>
      <c r="E56" s="2526"/>
      <c r="F56" s="2518"/>
      <c r="G56" s="71">
        <f>D56*E56*F56</f>
        <v>0</v>
      </c>
      <c r="H56" s="79">
        <f>C56*E56*F56</f>
        <v>0</v>
      </c>
      <c r="I56" s="760"/>
      <c r="J56" s="749"/>
    </row>
    <row r="57" spans="1:11" ht="16.5" customHeight="1">
      <c r="A57" s="771" t="s">
        <v>251</v>
      </c>
      <c r="B57" s="417"/>
      <c r="C57" s="417"/>
      <c r="D57" s="2527">
        <f t="shared" si="13"/>
        <v>0</v>
      </c>
      <c r="E57" s="2526"/>
      <c r="F57" s="2518"/>
      <c r="G57" s="71">
        <f t="shared" si="14"/>
        <v>0</v>
      </c>
      <c r="H57" s="79">
        <f t="shared" si="15"/>
        <v>0</v>
      </c>
      <c r="I57" s="760"/>
      <c r="J57" s="749"/>
    </row>
    <row r="58" spans="1:11" ht="16.5" customHeight="1">
      <c r="A58" s="867" t="s">
        <v>896</v>
      </c>
      <c r="B58" s="417"/>
      <c r="C58" s="417"/>
      <c r="D58" s="2527">
        <f t="shared" si="13"/>
        <v>0</v>
      </c>
      <c r="E58" s="2526"/>
      <c r="F58" s="2518"/>
      <c r="G58" s="71">
        <f t="shared" si="14"/>
        <v>0</v>
      </c>
      <c r="H58" s="79">
        <f t="shared" si="15"/>
        <v>0</v>
      </c>
      <c r="I58" s="760"/>
      <c r="J58" s="749"/>
    </row>
    <row r="59" spans="1:11" ht="16.5" customHeight="1">
      <c r="A59" s="2343" t="s">
        <v>897</v>
      </c>
      <c r="B59" s="417"/>
      <c r="C59" s="417"/>
      <c r="D59" s="2527">
        <f>B59-C59</f>
        <v>0</v>
      </c>
      <c r="E59" s="2526"/>
      <c r="F59" s="2518"/>
      <c r="G59" s="71">
        <f t="shared" ref="G59:G60" si="16">D59*E59*F59</f>
        <v>0</v>
      </c>
      <c r="H59" s="79">
        <f t="shared" ref="H59:H60" si="17">C59*E59*F59</f>
        <v>0</v>
      </c>
      <c r="I59" s="2342"/>
      <c r="J59" s="749"/>
    </row>
    <row r="60" spans="1:11" ht="16.5" customHeight="1">
      <c r="A60" s="2343" t="s">
        <v>1082</v>
      </c>
      <c r="B60" s="417"/>
      <c r="C60" s="417"/>
      <c r="D60" s="2527">
        <f t="shared" si="13"/>
        <v>0</v>
      </c>
      <c r="E60" s="2526"/>
      <c r="F60" s="2518"/>
      <c r="G60" s="71">
        <f t="shared" si="16"/>
        <v>0</v>
      </c>
      <c r="H60" s="79">
        <f t="shared" si="17"/>
        <v>0</v>
      </c>
      <c r="I60" s="2342"/>
      <c r="J60" s="749"/>
    </row>
    <row r="61" spans="1:11" ht="16.5" customHeight="1">
      <c r="A61" s="2343" t="s">
        <v>1083</v>
      </c>
      <c r="B61" s="417"/>
      <c r="C61" s="417"/>
      <c r="D61" s="2527">
        <f t="shared" si="13"/>
        <v>0</v>
      </c>
      <c r="E61" s="2526"/>
      <c r="F61" s="2518"/>
      <c r="G61" s="71">
        <f t="shared" si="14"/>
        <v>0</v>
      </c>
      <c r="H61" s="79">
        <f t="shared" si="15"/>
        <v>0</v>
      </c>
      <c r="I61" s="760"/>
      <c r="J61" s="749"/>
    </row>
    <row r="62" spans="1:11" ht="13.5" customHeight="1">
      <c r="A62" s="2343" t="s">
        <v>1400</v>
      </c>
      <c r="B62" s="417"/>
      <c r="C62" s="417"/>
      <c r="D62" s="2527">
        <f t="shared" si="13"/>
        <v>0</v>
      </c>
      <c r="E62" s="2526"/>
      <c r="F62" s="2518"/>
      <c r="G62" s="71">
        <f t="shared" si="14"/>
        <v>0</v>
      </c>
      <c r="H62" s="79">
        <f t="shared" si="15"/>
        <v>0</v>
      </c>
      <c r="I62" s="760"/>
      <c r="J62" s="749"/>
    </row>
    <row r="63" spans="1:11" s="14" customFormat="1" ht="14" thickBot="1">
      <c r="A63" s="2344" t="s">
        <v>1401</v>
      </c>
      <c r="B63" s="2529"/>
      <c r="C63" s="2529"/>
      <c r="D63" s="2528">
        <f t="shared" si="13"/>
        <v>0</v>
      </c>
      <c r="E63" s="2509"/>
      <c r="F63" s="2530"/>
      <c r="G63" s="2531">
        <f t="shared" si="14"/>
        <v>0</v>
      </c>
      <c r="H63" s="2532">
        <f t="shared" si="15"/>
        <v>0</v>
      </c>
      <c r="I63" s="2533"/>
      <c r="J63" s="762"/>
    </row>
    <row r="64" spans="1:11" ht="18" customHeight="1" thickBot="1">
      <c r="A64" s="830" t="s">
        <v>296</v>
      </c>
      <c r="B64" s="2511"/>
      <c r="C64" s="2512"/>
      <c r="D64" s="2512"/>
      <c r="E64" s="2534">
        <f>SUM(E54:E63)</f>
        <v>0</v>
      </c>
      <c r="F64" s="2535"/>
      <c r="G64" s="2536">
        <f>SUM(G54:G63)</f>
        <v>0</v>
      </c>
      <c r="H64" s="2537">
        <f>SUM(H54:H63)</f>
        <v>0</v>
      </c>
      <c r="I64" s="828">
        <f>G64+G50</f>
        <v>0</v>
      </c>
      <c r="J64" s="749"/>
      <c r="K64" s="748" t="str">
        <f>IF(E64&lt;&gt;SUM(Forside!G38),"SFO-børn ikke lig med antal SFO-børn tastet på forsiden","")</f>
        <v/>
      </c>
    </row>
    <row r="65" spans="1:12" ht="16.5" customHeight="1" thickBot="1">
      <c r="A65" s="750"/>
      <c r="B65" s="824" t="s">
        <v>890</v>
      </c>
      <c r="C65" s="824"/>
      <c r="D65" s="811"/>
      <c r="E65" s="812"/>
      <c r="F65" s="811"/>
      <c r="G65" s="813"/>
      <c r="H65" s="813"/>
      <c r="I65" s="907"/>
      <c r="J65" s="749"/>
      <c r="K65" s="748"/>
    </row>
    <row r="66" spans="1:12" ht="12" customHeight="1" thickBot="1">
      <c r="A66" s="750"/>
      <c r="B66" s="825" t="s">
        <v>891</v>
      </c>
      <c r="C66" s="824"/>
      <c r="D66" s="811"/>
      <c r="E66" s="812"/>
      <c r="F66" s="811"/>
      <c r="G66" s="813"/>
      <c r="H66" s="813"/>
      <c r="I66" s="896"/>
      <c r="J66" s="749"/>
      <c r="K66" s="748"/>
    </row>
    <row r="67" spans="1:12" ht="16.5" customHeight="1" thickBot="1">
      <c r="A67" s="750"/>
      <c r="B67" s="824" t="s">
        <v>912</v>
      </c>
      <c r="C67" s="824"/>
      <c r="D67" s="811"/>
      <c r="E67" s="812"/>
      <c r="F67" s="811"/>
      <c r="G67" s="813"/>
      <c r="H67" s="813"/>
      <c r="I67" s="908"/>
      <c r="J67" s="749"/>
      <c r="K67" s="748"/>
    </row>
    <row r="68" spans="1:12" ht="18" customHeight="1" thickBot="1">
      <c r="A68" s="764"/>
      <c r="B68" s="2806" t="s">
        <v>909</v>
      </c>
      <c r="C68" s="2806"/>
      <c r="D68" s="2806"/>
      <c r="E68" s="2806"/>
      <c r="F68" s="2806"/>
      <c r="G68" s="829">
        <f>G50+G64+I67+I65</f>
        <v>0</v>
      </c>
      <c r="H68" s="766">
        <f>H50+H64</f>
        <v>0</v>
      </c>
      <c r="I68" s="767">
        <f>I64+I65+I67</f>
        <v>0</v>
      </c>
      <c r="J68" s="768"/>
      <c r="K68" s="840"/>
    </row>
    <row r="69" spans="1:12" ht="18" customHeight="1" thickBot="1">
      <c r="A69" s="817"/>
      <c r="B69" s="26"/>
      <c r="C69" s="369"/>
      <c r="D69" s="815"/>
      <c r="E69" s="815"/>
      <c r="F69" s="753"/>
      <c r="G69" s="754"/>
      <c r="H69" s="754"/>
      <c r="I69" s="755"/>
      <c r="J69" s="816"/>
    </row>
    <row r="70" spans="1:12" ht="18" customHeight="1" thickBot="1">
      <c r="A70" s="2808" t="str">
        <f>"Indtægter vedrørende SFO (4. klasse og opefter) januar til juli "&amp;budgetår</f>
        <v>Indtægter vedrørende SFO (4. klasse og opefter) januar til juli 2024</v>
      </c>
      <c r="B70" s="2809"/>
      <c r="C70" s="2809"/>
      <c r="D70" s="2809"/>
      <c r="E70" s="2809"/>
      <c r="F70" s="2809"/>
      <c r="G70" s="2809"/>
      <c r="H70" s="2809"/>
      <c r="I70" s="2809"/>
      <c r="J70" s="2810"/>
      <c r="L70" s="25"/>
    </row>
    <row r="71" spans="1:12" ht="21" thickBot="1">
      <c r="A71" s="2811" t="s">
        <v>1489</v>
      </c>
      <c r="B71" s="2812"/>
      <c r="C71" s="2461"/>
      <c r="D71" s="2813"/>
      <c r="E71" s="2798"/>
      <c r="F71" s="2798"/>
      <c r="G71" s="2798"/>
      <c r="H71" s="2798"/>
      <c r="I71" s="2798"/>
      <c r="J71" s="2799"/>
    </row>
    <row r="72" spans="1:12" ht="18" customHeight="1">
      <c r="A72" s="617"/>
      <c r="B72" s="21" t="s">
        <v>84</v>
      </c>
      <c r="C72" s="21" t="s">
        <v>85</v>
      </c>
      <c r="D72" s="21" t="s">
        <v>86</v>
      </c>
      <c r="E72" s="21" t="s">
        <v>114</v>
      </c>
      <c r="F72" s="21" t="s">
        <v>115</v>
      </c>
      <c r="G72" s="21" t="s">
        <v>116</v>
      </c>
      <c r="H72" s="77" t="s">
        <v>117</v>
      </c>
      <c r="I72" s="757"/>
      <c r="J72" s="758"/>
      <c r="K72" s="53"/>
      <c r="L72" s="53"/>
    </row>
    <row r="73" spans="1:12" ht="42">
      <c r="A73" s="81"/>
      <c r="B73" s="23" t="s">
        <v>297</v>
      </c>
      <c r="C73" s="23" t="s">
        <v>143</v>
      </c>
      <c r="D73" s="23" t="s">
        <v>298</v>
      </c>
      <c r="E73" s="23" t="s">
        <v>137</v>
      </c>
      <c r="F73" s="23" t="s">
        <v>299</v>
      </c>
      <c r="G73" s="23" t="s">
        <v>247</v>
      </c>
      <c r="H73" s="78" t="s">
        <v>140</v>
      </c>
      <c r="I73" s="750"/>
      <c r="J73" s="749"/>
    </row>
    <row r="74" spans="1:12" ht="17" customHeight="1">
      <c r="A74" s="759">
        <v>1</v>
      </c>
      <c r="B74" s="417"/>
      <c r="C74" s="2538"/>
      <c r="D74" s="2539">
        <f t="shared" ref="D74:D79" si="18">B74-C74</f>
        <v>0</v>
      </c>
      <c r="E74" s="2538"/>
      <c r="F74" s="2538"/>
      <c r="G74" s="71">
        <f t="shared" ref="G74:G79" si="19">D74*E74*F74</f>
        <v>0</v>
      </c>
      <c r="H74" s="79">
        <f t="shared" ref="H74:H79" si="20">C74*E74*F74</f>
        <v>0</v>
      </c>
      <c r="I74" s="760"/>
      <c r="J74" s="749"/>
    </row>
    <row r="75" spans="1:12" ht="17" customHeight="1">
      <c r="A75" s="759">
        <v>2</v>
      </c>
      <c r="B75" s="417"/>
      <c r="C75" s="2540"/>
      <c r="D75" s="2541">
        <f t="shared" si="18"/>
        <v>0</v>
      </c>
      <c r="E75" s="2540"/>
      <c r="F75" s="2540"/>
      <c r="G75" s="71">
        <f t="shared" si="19"/>
        <v>0</v>
      </c>
      <c r="H75" s="79">
        <f t="shared" si="20"/>
        <v>0</v>
      </c>
      <c r="I75" s="760"/>
      <c r="J75" s="749"/>
    </row>
    <row r="76" spans="1:12" ht="17" customHeight="1">
      <c r="A76" s="759">
        <v>3</v>
      </c>
      <c r="B76" s="417"/>
      <c r="C76" s="2540"/>
      <c r="D76" s="2541">
        <f t="shared" si="18"/>
        <v>0</v>
      </c>
      <c r="E76" s="2540"/>
      <c r="F76" s="2540"/>
      <c r="G76" s="71">
        <f t="shared" si="19"/>
        <v>0</v>
      </c>
      <c r="H76" s="79">
        <f t="shared" si="20"/>
        <v>0</v>
      </c>
      <c r="I76" s="760"/>
      <c r="J76" s="749"/>
    </row>
    <row r="77" spans="1:12" ht="17" customHeight="1">
      <c r="A77" s="759">
        <v>4</v>
      </c>
      <c r="B77" s="417"/>
      <c r="C77" s="2540"/>
      <c r="D77" s="2541">
        <f t="shared" si="18"/>
        <v>0</v>
      </c>
      <c r="E77" s="2540"/>
      <c r="F77" s="2540"/>
      <c r="G77" s="71">
        <f t="shared" si="19"/>
        <v>0</v>
      </c>
      <c r="H77" s="79">
        <f t="shared" si="20"/>
        <v>0</v>
      </c>
      <c r="I77" s="760"/>
      <c r="J77" s="749"/>
    </row>
    <row r="78" spans="1:12" ht="17" customHeight="1">
      <c r="A78" s="759">
        <v>5</v>
      </c>
      <c r="B78" s="417"/>
      <c r="C78" s="2540"/>
      <c r="D78" s="2541">
        <f t="shared" si="18"/>
        <v>0</v>
      </c>
      <c r="E78" s="2540"/>
      <c r="F78" s="2540"/>
      <c r="G78" s="71">
        <f t="shared" si="19"/>
        <v>0</v>
      </c>
      <c r="H78" s="79">
        <f t="shared" si="20"/>
        <v>0</v>
      </c>
      <c r="I78" s="760"/>
      <c r="J78" s="749"/>
    </row>
    <row r="79" spans="1:12" ht="17" customHeight="1" thickBot="1">
      <c r="A79" s="759">
        <v>6</v>
      </c>
      <c r="B79" s="831"/>
      <c r="C79" s="2542"/>
      <c r="D79" s="2543">
        <f t="shared" si="18"/>
        <v>0</v>
      </c>
      <c r="E79" s="2542"/>
      <c r="F79" s="2542"/>
      <c r="G79" s="826">
        <f t="shared" si="19"/>
        <v>0</v>
      </c>
      <c r="H79" s="827">
        <f t="shared" si="20"/>
        <v>0</v>
      </c>
      <c r="I79" s="761"/>
      <c r="J79" s="762"/>
    </row>
    <row r="80" spans="1:12" ht="17" customHeight="1" thickBot="1">
      <c r="A80" s="841" t="s">
        <v>296</v>
      </c>
      <c r="B80" s="842"/>
      <c r="C80" s="843"/>
      <c r="D80" s="843"/>
      <c r="E80" s="844">
        <f>SUM(E74:E79)</f>
        <v>0</v>
      </c>
      <c r="F80" s="845"/>
      <c r="G80" s="846">
        <f>SUM(G74:G79)</f>
        <v>0</v>
      </c>
      <c r="H80" s="847">
        <f>SUM(H74:H79)</f>
        <v>0</v>
      </c>
      <c r="I80" s="848"/>
      <c r="J80" s="749"/>
      <c r="K80" s="748" t="str">
        <f>IF(E80&lt;&gt;SUM(Forside!E39),"SFO-børn ikke lig med antal SFO-børn tastet på forsiden","")</f>
        <v/>
      </c>
    </row>
    <row r="81" spans="1:11" ht="21" thickBot="1">
      <c r="A81" s="2800" t="str">
        <f>"Indtægter vedrørende SFO (4. klasse og opefter) august til december "&amp;budgetår</f>
        <v>Indtægter vedrørende SFO (4. klasse og opefter) august til december 2024</v>
      </c>
      <c r="B81" s="2801"/>
      <c r="C81" s="2801"/>
      <c r="D81" s="2801"/>
      <c r="E81" s="2801"/>
      <c r="F81" s="2801"/>
      <c r="G81" s="2801"/>
      <c r="H81" s="2801"/>
      <c r="I81" s="2801"/>
      <c r="J81" s="2802"/>
    </row>
    <row r="82" spans="1:11">
      <c r="A82" s="849"/>
      <c r="B82" s="850" t="s">
        <v>84</v>
      </c>
      <c r="C82" s="850" t="s">
        <v>85</v>
      </c>
      <c r="D82" s="850" t="s">
        <v>86</v>
      </c>
      <c r="E82" s="850" t="s">
        <v>114</v>
      </c>
      <c r="F82" s="850" t="s">
        <v>115</v>
      </c>
      <c r="G82" s="850" t="s">
        <v>116</v>
      </c>
      <c r="H82" s="851" t="s">
        <v>117</v>
      </c>
      <c r="I82" s="750"/>
      <c r="J82" s="749"/>
    </row>
    <row r="83" spans="1:11" s="14" customFormat="1" ht="44" customHeight="1">
      <c r="A83" s="81"/>
      <c r="B83" s="23" t="s">
        <v>297</v>
      </c>
      <c r="C83" s="23" t="s">
        <v>143</v>
      </c>
      <c r="D83" s="23" t="s">
        <v>298</v>
      </c>
      <c r="E83" s="23" t="s">
        <v>137</v>
      </c>
      <c r="F83" s="23" t="s">
        <v>299</v>
      </c>
      <c r="G83" s="23" t="s">
        <v>247</v>
      </c>
      <c r="H83" s="78" t="s">
        <v>140</v>
      </c>
      <c r="I83" s="750"/>
      <c r="J83" s="749"/>
    </row>
    <row r="84" spans="1:11" s="14" customFormat="1" ht="17" customHeight="1">
      <c r="A84" s="877" t="s">
        <v>907</v>
      </c>
      <c r="B84" s="417"/>
      <c r="C84" s="2538"/>
      <c r="D84" s="2539">
        <f t="shared" ref="D84:D89" si="21">B84-C84</f>
        <v>0</v>
      </c>
      <c r="E84" s="2538"/>
      <c r="F84" s="2538"/>
      <c r="G84" s="71">
        <f t="shared" ref="G84:G89" si="22">D84*E84*F84</f>
        <v>0</v>
      </c>
      <c r="H84" s="79">
        <f t="shared" ref="H84:H89" si="23">C84*E84*F84</f>
        <v>0</v>
      </c>
      <c r="I84" s="760"/>
      <c r="J84" s="749"/>
    </row>
    <row r="85" spans="1:11" s="14" customFormat="1" ht="17" customHeight="1">
      <c r="A85" s="877" t="s">
        <v>693</v>
      </c>
      <c r="B85" s="417"/>
      <c r="C85" s="2540"/>
      <c r="D85" s="2541">
        <f t="shared" si="21"/>
        <v>0</v>
      </c>
      <c r="E85" s="2540"/>
      <c r="F85" s="2540"/>
      <c r="G85" s="71">
        <f t="shared" si="22"/>
        <v>0</v>
      </c>
      <c r="H85" s="79">
        <f t="shared" si="23"/>
        <v>0</v>
      </c>
      <c r="I85" s="760"/>
      <c r="J85" s="749"/>
    </row>
    <row r="86" spans="1:11" s="14" customFormat="1" ht="17" customHeight="1">
      <c r="A86" s="877" t="s">
        <v>694</v>
      </c>
      <c r="B86" s="417"/>
      <c r="C86" s="2540"/>
      <c r="D86" s="2541">
        <f t="shared" si="21"/>
        <v>0</v>
      </c>
      <c r="E86" s="2540"/>
      <c r="F86" s="2540"/>
      <c r="G86" s="71">
        <f t="shared" si="22"/>
        <v>0</v>
      </c>
      <c r="H86" s="79">
        <f t="shared" si="23"/>
        <v>0</v>
      </c>
      <c r="I86" s="760"/>
      <c r="J86" s="749"/>
    </row>
    <row r="87" spans="1:11" s="14" customFormat="1" ht="17" customHeight="1">
      <c r="A87" s="877" t="s">
        <v>692</v>
      </c>
      <c r="B87" s="417"/>
      <c r="C87" s="2540"/>
      <c r="D87" s="2541">
        <f t="shared" si="21"/>
        <v>0</v>
      </c>
      <c r="E87" s="2540"/>
      <c r="F87" s="2540"/>
      <c r="G87" s="71">
        <f t="shared" si="22"/>
        <v>0</v>
      </c>
      <c r="H87" s="79">
        <f t="shared" si="23"/>
        <v>0</v>
      </c>
      <c r="I87" s="760"/>
      <c r="J87" s="749"/>
    </row>
    <row r="88" spans="1:11" s="14" customFormat="1" ht="17" customHeight="1">
      <c r="A88" s="877" t="s">
        <v>691</v>
      </c>
      <c r="B88" s="417"/>
      <c r="C88" s="2540"/>
      <c r="D88" s="2541">
        <f t="shared" si="21"/>
        <v>0</v>
      </c>
      <c r="E88" s="2540"/>
      <c r="F88" s="2540"/>
      <c r="G88" s="71">
        <f t="shared" si="22"/>
        <v>0</v>
      </c>
      <c r="H88" s="79">
        <f t="shared" si="23"/>
        <v>0</v>
      </c>
      <c r="I88" s="760"/>
      <c r="J88" s="749"/>
    </row>
    <row r="89" spans="1:11" s="14" customFormat="1" ht="17" customHeight="1" thickBot="1">
      <c r="A89" s="877" t="s">
        <v>690</v>
      </c>
      <c r="B89" s="831"/>
      <c r="C89" s="2542"/>
      <c r="D89" s="2543">
        <f t="shared" si="21"/>
        <v>0</v>
      </c>
      <c r="E89" s="2542"/>
      <c r="F89" s="2542"/>
      <c r="G89" s="826">
        <f t="shared" si="22"/>
        <v>0</v>
      </c>
      <c r="H89" s="827">
        <f t="shared" si="23"/>
        <v>0</v>
      </c>
      <c r="I89" s="761"/>
      <c r="J89" s="762"/>
    </row>
    <row r="90" spans="1:11" s="14" customFormat="1" ht="17" customHeight="1" thickBot="1">
      <c r="A90" s="830" t="s">
        <v>296</v>
      </c>
      <c r="B90" s="832"/>
      <c r="C90" s="833"/>
      <c r="D90" s="833"/>
      <c r="E90" s="834">
        <f>SUM(E84:E89)</f>
        <v>0</v>
      </c>
      <c r="F90" s="838"/>
      <c r="G90" s="839">
        <f>SUM(G84:G89)</f>
        <v>0</v>
      </c>
      <c r="H90" s="835">
        <f>SUM(H84:H89)</f>
        <v>0</v>
      </c>
      <c r="I90" s="763">
        <f>G90+G80</f>
        <v>0</v>
      </c>
      <c r="J90" s="749"/>
      <c r="K90" s="748" t="str">
        <f>IF(E90&lt;&gt;SUM(Forside!G39),"SFO-børn ikke lig med antal SFO-børn tastet på forsiden","")</f>
        <v/>
      </c>
    </row>
    <row r="91" spans="1:11" s="14" customFormat="1" ht="20" customHeight="1" thickBot="1">
      <c r="A91" s="764"/>
      <c r="B91" s="2806" t="s">
        <v>1297</v>
      </c>
      <c r="C91" s="2806"/>
      <c r="D91" s="2806"/>
      <c r="E91" s="2806"/>
      <c r="F91" s="2807"/>
      <c r="G91" s="836">
        <f>G80+G90</f>
        <v>0</v>
      </c>
      <c r="H91" s="837">
        <f>H80+H90</f>
        <v>0</v>
      </c>
      <c r="I91" s="767">
        <f>I90</f>
        <v>0</v>
      </c>
      <c r="J91" s="768"/>
      <c r="K91" s="748"/>
    </row>
    <row r="92" spans="1:11" s="14" customFormat="1" ht="12.75" customHeight="1" thickBot="1">
      <c r="A92" s="817"/>
      <c r="B92"/>
      <c r="C92" s="5"/>
      <c r="D92" s="756"/>
      <c r="E92" s="756"/>
      <c r="F92" s="756"/>
      <c r="G92" s="756"/>
      <c r="H92" s="756"/>
      <c r="I92" s="5"/>
      <c r="J92" s="5"/>
    </row>
    <row r="93" spans="1:11" ht="24" customHeight="1" thickBot="1">
      <c r="A93" s="2785" t="s">
        <v>893</v>
      </c>
      <c r="B93" s="2786"/>
      <c r="C93" s="2786"/>
      <c r="D93" s="2786"/>
      <c r="E93" s="2786"/>
      <c r="F93" s="2786"/>
      <c r="G93" s="2786"/>
      <c r="H93" s="2786"/>
      <c r="I93" s="2786"/>
      <c r="J93" s="2787"/>
    </row>
    <row r="94" spans="1:11" ht="12" customHeight="1" thickBot="1">
      <c r="A94" s="2754" t="str">
        <f>"Hvis brug for flere rækker - kan disse indsættes imellem række "&amp;L100&amp;-L107&amp;""</f>
        <v>Hvis brug for flere rækker - kan disse indsættes imellem række 100-107</v>
      </c>
      <c r="B94" s="2755"/>
      <c r="C94" s="2755"/>
      <c r="D94" s="2755"/>
      <c r="E94" s="2755"/>
      <c r="F94" s="2755"/>
      <c r="G94" s="2755"/>
      <c r="H94" s="2755"/>
      <c r="I94" s="2755"/>
      <c r="J94" s="2756"/>
    </row>
    <row r="95" spans="1:11" ht="18" customHeight="1">
      <c r="A95" s="73" t="s">
        <v>192</v>
      </c>
      <c r="B95" s="74" t="s">
        <v>193</v>
      </c>
      <c r="C95" s="864"/>
      <c r="D95" s="2752"/>
      <c r="E95" s="2752"/>
      <c r="F95" s="2753"/>
      <c r="G95" s="2424" t="s">
        <v>1487</v>
      </c>
      <c r="H95" s="870">
        <f>budgetår</f>
        <v>2024</v>
      </c>
      <c r="I95" s="871">
        <f>budgetår+1</f>
        <v>2025</v>
      </c>
      <c r="J95" s="2788"/>
    </row>
    <row r="96" spans="1:11" ht="18" customHeight="1">
      <c r="A96" s="865">
        <v>1</v>
      </c>
      <c r="B96" s="2749" t="s">
        <v>1486</v>
      </c>
      <c r="C96" s="2750"/>
      <c r="D96" s="2750"/>
      <c r="E96" s="2750"/>
      <c r="F96" s="2751"/>
      <c r="G96" s="2425"/>
      <c r="H96" s="2423"/>
      <c r="I96" s="2423"/>
      <c r="J96" s="2789"/>
    </row>
    <row r="97" spans="1:12" ht="14" customHeight="1">
      <c r="A97" s="865">
        <v>2</v>
      </c>
      <c r="B97" s="2746" t="s">
        <v>1292</v>
      </c>
      <c r="C97" s="2747"/>
      <c r="D97" s="2747"/>
      <c r="E97" s="2747"/>
      <c r="F97" s="2748"/>
      <c r="G97" s="2427"/>
      <c r="H97" s="874" t="str">
        <f>IF(Hovedskema!F8=0,"0",Daginstitution!S20+Daginstitution!S28)</f>
        <v>0</v>
      </c>
      <c r="I97" s="872" t="str">
        <f>IF(Hovedskema!G8=0,"0",(H97/Hovedskema!F8*Hovedskema!G8)/Daginstitution!E3*Daginstitution!E4)</f>
        <v>0</v>
      </c>
      <c r="J97" s="2789"/>
    </row>
    <row r="98" spans="1:12" ht="14" customHeight="1">
      <c r="A98" s="865">
        <v>3</v>
      </c>
      <c r="B98" s="2746" t="s">
        <v>1293</v>
      </c>
      <c r="C98" s="2747"/>
      <c r="D98" s="2747"/>
      <c r="E98" s="2747"/>
      <c r="F98" s="2748"/>
      <c r="G98" s="2427"/>
      <c r="H98" s="874" t="str">
        <f>IF(Hovedskema!F9=0,"0",Daginstitution!S56+Daginstitution!S64)</f>
        <v>0</v>
      </c>
      <c r="I98" s="873" t="str">
        <f>IF(Hovedskema!G9=0,"0",(H98/Hovedskema!F9*Hovedskema!G9)/Daginstitution!E39*Daginstitution!E40)</f>
        <v>0</v>
      </c>
      <c r="J98" s="2789"/>
    </row>
    <row r="99" spans="1:12" ht="14" customHeight="1">
      <c r="A99" s="865">
        <v>4</v>
      </c>
      <c r="B99" s="2746" t="s">
        <v>1294</v>
      </c>
      <c r="C99" s="2747"/>
      <c r="D99" s="2747"/>
      <c r="E99" s="2747"/>
      <c r="F99" s="2748"/>
      <c r="G99" s="2428"/>
      <c r="H99" s="875">
        <f>IF('Heltids SFO'!M12&gt;0,'Heltids SFO'!M12+'Heltids SFO'!M20,0)</f>
        <v>0</v>
      </c>
      <c r="I99" s="1367">
        <f>IF(Hovedskema!G20&gt;0,Hovedskema!G20,0)</f>
        <v>0</v>
      </c>
      <c r="J99" s="2789"/>
    </row>
    <row r="100" spans="1:12" ht="14" customHeight="1">
      <c r="A100" s="865">
        <v>5</v>
      </c>
      <c r="B100" s="2775" t="s">
        <v>1052</v>
      </c>
      <c r="C100" s="2776"/>
      <c r="D100" s="2776"/>
      <c r="E100" s="2776"/>
      <c r="F100" s="2777"/>
      <c r="G100" s="2426"/>
      <c r="H100" s="897"/>
      <c r="I100" s="898"/>
      <c r="J100" s="2789"/>
      <c r="L100" s="876">
        <f>ROW(K100)</f>
        <v>100</v>
      </c>
    </row>
    <row r="101" spans="1:12" ht="14" customHeight="1">
      <c r="A101" s="865">
        <v>6</v>
      </c>
      <c r="B101" s="2775" t="s">
        <v>1053</v>
      </c>
      <c r="C101" s="2776"/>
      <c r="D101" s="2776"/>
      <c r="E101" s="2776"/>
      <c r="F101" s="2777"/>
      <c r="G101" s="2426"/>
      <c r="H101" s="897"/>
      <c r="I101" s="1174"/>
      <c r="J101" s="2789"/>
    </row>
    <row r="102" spans="1:12" ht="14" customHeight="1">
      <c r="A102" s="865">
        <v>7</v>
      </c>
      <c r="B102" s="2775" t="s">
        <v>1054</v>
      </c>
      <c r="C102" s="2776"/>
      <c r="D102" s="2776"/>
      <c r="E102" s="2776"/>
      <c r="F102" s="2777"/>
      <c r="G102" s="2426"/>
      <c r="H102" s="2255"/>
      <c r="I102" s="2256"/>
      <c r="J102" s="2789"/>
    </row>
    <row r="103" spans="1:12" ht="14" customHeight="1">
      <c r="A103" s="865">
        <v>8</v>
      </c>
      <c r="B103" s="2778" t="s">
        <v>1369</v>
      </c>
      <c r="C103" s="2779"/>
      <c r="D103" s="2779"/>
      <c r="E103" s="2779"/>
      <c r="F103" s="2780"/>
      <c r="G103" s="2426"/>
      <c r="H103" s="2255"/>
      <c r="I103" s="2256"/>
      <c r="J103" s="2789"/>
    </row>
    <row r="104" spans="1:12" ht="14" customHeight="1">
      <c r="A104" s="865">
        <v>9</v>
      </c>
      <c r="B104" s="2775"/>
      <c r="C104" s="2779"/>
      <c r="D104" s="2779"/>
      <c r="E104" s="2779"/>
      <c r="F104" s="2780"/>
      <c r="G104" s="2426"/>
      <c r="H104" s="897"/>
      <c r="I104" s="898"/>
      <c r="J104" s="2789"/>
    </row>
    <row r="105" spans="1:12" ht="14" customHeight="1">
      <c r="A105" s="865">
        <v>10</v>
      </c>
      <c r="B105" s="2775"/>
      <c r="C105" s="2776"/>
      <c r="D105" s="2776"/>
      <c r="E105" s="2776"/>
      <c r="F105" s="2777"/>
      <c r="G105" s="2426"/>
      <c r="H105" s="897"/>
      <c r="I105" s="898"/>
      <c r="J105" s="2789"/>
    </row>
    <row r="106" spans="1:12" ht="14" customHeight="1">
      <c r="A106" s="865">
        <v>11</v>
      </c>
      <c r="B106" s="2775"/>
      <c r="C106" s="2776"/>
      <c r="D106" s="2776"/>
      <c r="E106" s="2776"/>
      <c r="F106" s="2777"/>
      <c r="G106" s="2426"/>
      <c r="H106" s="897"/>
      <c r="I106" s="898"/>
      <c r="J106" s="2789"/>
    </row>
    <row r="107" spans="1:12" ht="14" customHeight="1" thickBot="1">
      <c r="A107" s="865">
        <v>12</v>
      </c>
      <c r="B107" s="2775"/>
      <c r="C107" s="2776"/>
      <c r="D107" s="2776"/>
      <c r="E107" s="2776"/>
      <c r="F107" s="2777"/>
      <c r="G107" s="2426"/>
      <c r="H107" s="897"/>
      <c r="I107" s="898"/>
      <c r="J107" s="2789"/>
      <c r="L107" s="876">
        <f>ROW(K107)</f>
        <v>107</v>
      </c>
    </row>
    <row r="108" spans="1:12" ht="18" customHeight="1" thickBot="1">
      <c r="A108" s="219" t="s">
        <v>296</v>
      </c>
      <c r="B108" s="220" t="s">
        <v>1295</v>
      </c>
      <c r="C108" s="620"/>
      <c r="D108" s="620"/>
      <c r="E108" s="620"/>
      <c r="F108" s="621"/>
      <c r="G108" s="621"/>
      <c r="H108" s="621">
        <f>SUM(H97:H107)</f>
        <v>0</v>
      </c>
      <c r="I108" s="621">
        <f>SUM(I97:I107)</f>
        <v>0</v>
      </c>
      <c r="J108" s="2790"/>
      <c r="K108" s="840"/>
      <c r="L108" s="876"/>
    </row>
    <row r="109" spans="1:12" ht="18" customHeight="1" thickBot="1">
      <c r="A109" s="2785" t="s">
        <v>894</v>
      </c>
      <c r="B109" s="2786"/>
      <c r="C109" s="2786"/>
      <c r="D109" s="2786"/>
      <c r="E109" s="2786"/>
      <c r="F109" s="2786"/>
      <c r="G109" s="2786"/>
      <c r="H109" s="2786"/>
      <c r="I109" s="2786"/>
      <c r="J109" s="2787"/>
      <c r="L109" s="876"/>
    </row>
    <row r="110" spans="1:12" ht="12" customHeight="1" thickBot="1">
      <c r="A110" s="2754" t="str">
        <f>"Hvis brug for flere rækker - kan disse indsættes imellem række "&amp;L118&amp;-L147&amp;""</f>
        <v>Hvis brug for flere rækker - kan disse indsættes imellem række 118-147</v>
      </c>
      <c r="B110" s="2755"/>
      <c r="C110" s="2755"/>
      <c r="D110" s="2755"/>
      <c r="E110" s="2755"/>
      <c r="F110" s="2755"/>
      <c r="G110" s="2755"/>
      <c r="H110" s="2755"/>
      <c r="I110" s="2755"/>
      <c r="J110" s="2756"/>
      <c r="L110" s="876"/>
    </row>
    <row r="111" spans="1:12" ht="18" customHeight="1">
      <c r="A111" s="73" t="s">
        <v>192</v>
      </c>
      <c r="B111" s="74" t="s">
        <v>193</v>
      </c>
      <c r="C111" s="864"/>
      <c r="D111" s="2752"/>
      <c r="E111" s="2752"/>
      <c r="F111" s="2753"/>
      <c r="G111" s="2424" t="s">
        <v>1487</v>
      </c>
      <c r="H111" s="618">
        <f>budgetår</f>
        <v>2024</v>
      </c>
      <c r="I111" s="619">
        <f>budgetår+1</f>
        <v>2025</v>
      </c>
      <c r="J111" s="866"/>
      <c r="L111" s="876"/>
    </row>
    <row r="112" spans="1:12">
      <c r="A112" s="72">
        <v>1</v>
      </c>
      <c r="B112" s="2782" t="s">
        <v>1402</v>
      </c>
      <c r="C112" s="2783"/>
      <c r="D112" s="2783"/>
      <c r="E112" s="2783"/>
      <c r="F112" s="2784"/>
      <c r="G112" s="2467"/>
      <c r="H112" s="878" t="str">
        <f>IF(Hovedskema!F8=0,"0",(Daginstitution!T20))</f>
        <v>0</v>
      </c>
      <c r="I112" s="878" t="str">
        <f>IF(Hovedskema!G8=0,"0",(Daginstitution!T20/Daginstitution!T3*Daginstitution!T4)/Hovedskema!F8*Hovedskema!G8)</f>
        <v>0</v>
      </c>
      <c r="J112" s="749"/>
      <c r="L112" s="876"/>
    </row>
    <row r="113" spans="1:12">
      <c r="A113" s="779">
        <f>A112+1</f>
        <v>2</v>
      </c>
      <c r="B113" s="2760" t="s">
        <v>1403</v>
      </c>
      <c r="C113" s="2761"/>
      <c r="D113" s="2761"/>
      <c r="E113" s="2761"/>
      <c r="F113" s="2762"/>
      <c r="G113" s="2468"/>
      <c r="H113" s="879" t="str">
        <f>IF(Hovedskema!F9=0,"0",(Daginstitution!T56))</f>
        <v>0</v>
      </c>
      <c r="I113" s="879" t="str">
        <f>IF(Hovedskema!G9=0,"0",(Daginstitution!T56/Daginstitution!T39*Daginstitution!T40/Hovedskema!F9*Hovedskema!G9))</f>
        <v>0</v>
      </c>
      <c r="J113" s="749"/>
      <c r="L113" s="876"/>
    </row>
    <row r="114" spans="1:12">
      <c r="A114" s="72">
        <v>3</v>
      </c>
      <c r="B114" s="1388" t="s">
        <v>1404</v>
      </c>
      <c r="C114" s="894"/>
      <c r="D114" s="894"/>
      <c r="E114" s="894"/>
      <c r="F114" s="895"/>
      <c r="G114" s="2468"/>
      <c r="H114" s="780">
        <f>'Heltids SFO'!N12</f>
        <v>0</v>
      </c>
      <c r="I114" s="1368">
        <f>IF(Hovedskema!G27&gt;0,Hovedskema!G27,0)</f>
        <v>0</v>
      </c>
      <c r="J114" s="749"/>
      <c r="L114" s="876"/>
    </row>
    <row r="115" spans="1:12">
      <c r="A115" s="779">
        <v>4</v>
      </c>
      <c r="B115" s="2760" t="s">
        <v>1405</v>
      </c>
      <c r="C115" s="2761"/>
      <c r="D115" s="2761"/>
      <c r="E115" s="2761"/>
      <c r="F115" s="2762"/>
      <c r="G115" s="2468"/>
      <c r="H115" s="780">
        <f>Daginstitution!S36</f>
        <v>0</v>
      </c>
      <c r="I115" s="879" t="str">
        <f>IF(Hovedskema!G8=0,"0",(H115/Hovedskema!F8*Hovedskema!G8))</f>
        <v>0</v>
      </c>
      <c r="J115" s="749"/>
      <c r="L115" s="876"/>
    </row>
    <row r="116" spans="1:12">
      <c r="A116" s="72">
        <v>5</v>
      </c>
      <c r="B116" s="2760" t="s">
        <v>1406</v>
      </c>
      <c r="C116" s="2761"/>
      <c r="D116" s="2761"/>
      <c r="E116" s="2761"/>
      <c r="F116" s="2762"/>
      <c r="G116" s="2468"/>
      <c r="H116" s="780">
        <f>Daginstitution!S72</f>
        <v>0</v>
      </c>
      <c r="I116" s="879" t="str">
        <f>IF(Hovedskema!G9=0,"0",(H116/Hovedskema!F9*Hovedskema!G9))</f>
        <v>0</v>
      </c>
      <c r="J116" s="749"/>
      <c r="L116" s="876"/>
    </row>
    <row r="117" spans="1:12">
      <c r="A117" s="779">
        <v>6</v>
      </c>
      <c r="B117" s="2760" t="s">
        <v>1407</v>
      </c>
      <c r="C117" s="2761"/>
      <c r="D117" s="2761"/>
      <c r="E117" s="2761"/>
      <c r="F117" s="2762"/>
      <c r="G117" s="2468"/>
      <c r="H117" s="780">
        <f>'Heltids SFO'!M28</f>
        <v>0</v>
      </c>
      <c r="I117" s="1368">
        <f>IF('Heltids SFO'!M28&gt;0,'Heltids SFO'!M28/Hovedskema!F7*Hovedskema!G7,0)</f>
        <v>0</v>
      </c>
      <c r="J117" s="75"/>
      <c r="L117" s="876"/>
    </row>
    <row r="118" spans="1:12">
      <c r="A118" s="72">
        <v>7</v>
      </c>
      <c r="B118" s="2763" t="s">
        <v>1395</v>
      </c>
      <c r="C118" s="2764"/>
      <c r="D118" s="2764"/>
      <c r="E118" s="2764"/>
      <c r="F118" s="2765"/>
      <c r="G118" s="2469"/>
      <c r="H118" s="899"/>
      <c r="I118" s="899"/>
      <c r="J118" s="749"/>
      <c r="L118" s="876">
        <f>ROW(K118)</f>
        <v>118</v>
      </c>
    </row>
    <row r="119" spans="1:12">
      <c r="A119" s="779">
        <v>8</v>
      </c>
      <c r="B119" s="2763" t="s">
        <v>1394</v>
      </c>
      <c r="C119" s="2764"/>
      <c r="D119" s="2764"/>
      <c r="E119" s="2764"/>
      <c r="F119" s="2765"/>
      <c r="G119" s="2469"/>
      <c r="H119" s="899"/>
      <c r="I119" s="899"/>
      <c r="J119" s="749"/>
    </row>
    <row r="120" spans="1:12">
      <c r="A120" s="72">
        <v>9</v>
      </c>
      <c r="B120" s="2769" t="s">
        <v>876</v>
      </c>
      <c r="C120" s="2770"/>
      <c r="D120" s="2770"/>
      <c r="E120" s="2770"/>
      <c r="F120" s="2771"/>
      <c r="G120" s="2467"/>
      <c r="H120" s="1175"/>
      <c r="I120" s="899"/>
      <c r="J120" s="749"/>
    </row>
    <row r="121" spans="1:12">
      <c r="A121" s="779">
        <f>A120+1</f>
        <v>10</v>
      </c>
      <c r="B121" s="2772" t="s">
        <v>902</v>
      </c>
      <c r="C121" s="2773"/>
      <c r="D121" s="2773"/>
      <c r="E121" s="2773"/>
      <c r="F121" s="2774"/>
      <c r="G121" s="2467"/>
      <c r="H121" s="1175"/>
      <c r="I121" s="899"/>
      <c r="J121" s="749"/>
    </row>
    <row r="122" spans="1:12">
      <c r="A122" s="72">
        <v>11</v>
      </c>
      <c r="B122" s="2766" t="s">
        <v>1408</v>
      </c>
      <c r="C122" s="2767"/>
      <c r="D122" s="2767"/>
      <c r="E122" s="2767"/>
      <c r="F122" s="2768"/>
      <c r="G122" s="2467"/>
      <c r="H122" s="1175"/>
      <c r="I122" s="899"/>
      <c r="J122" s="749"/>
    </row>
    <row r="123" spans="1:12">
      <c r="A123" s="779">
        <v>12</v>
      </c>
      <c r="B123" s="2769" t="s">
        <v>903</v>
      </c>
      <c r="C123" s="2767"/>
      <c r="D123" s="2767"/>
      <c r="E123" s="2767"/>
      <c r="F123" s="2768"/>
      <c r="G123" s="2467"/>
      <c r="H123" s="1175"/>
      <c r="I123" s="899"/>
      <c r="J123" s="749"/>
    </row>
    <row r="124" spans="1:12">
      <c r="A124" s="72">
        <v>13</v>
      </c>
      <c r="B124" s="2769" t="s">
        <v>904</v>
      </c>
      <c r="C124" s="2767"/>
      <c r="D124" s="2767"/>
      <c r="E124" s="2767"/>
      <c r="F124" s="2768"/>
      <c r="G124" s="2467"/>
      <c r="H124" s="2257"/>
      <c r="I124" s="2258"/>
      <c r="J124" s="749"/>
    </row>
    <row r="125" spans="1:12">
      <c r="A125" s="779">
        <v>14</v>
      </c>
      <c r="B125" s="2766" t="s">
        <v>1147</v>
      </c>
      <c r="C125" s="2767"/>
      <c r="D125" s="2767"/>
      <c r="E125" s="2767"/>
      <c r="F125" s="2768"/>
      <c r="G125" s="2467"/>
      <c r="H125" s="2255"/>
      <c r="I125" s="2256"/>
      <c r="J125" s="749"/>
    </row>
    <row r="126" spans="1:12">
      <c r="A126" s="72">
        <v>15</v>
      </c>
      <c r="B126" s="2769" t="s">
        <v>871</v>
      </c>
      <c r="C126" s="2770"/>
      <c r="D126" s="2770"/>
      <c r="E126" s="2770"/>
      <c r="F126" s="2771"/>
      <c r="G126" s="2467"/>
      <c r="H126" s="1175"/>
      <c r="I126" s="899"/>
      <c r="J126" s="749"/>
    </row>
    <row r="127" spans="1:12">
      <c r="A127" s="779">
        <v>16</v>
      </c>
      <c r="B127" s="2769" t="s">
        <v>872</v>
      </c>
      <c r="C127" s="2770"/>
      <c r="D127" s="2770"/>
      <c r="E127" s="2770"/>
      <c r="F127" s="2771"/>
      <c r="G127" s="2467"/>
      <c r="H127" s="1175"/>
      <c r="I127" s="899"/>
      <c r="J127" s="749"/>
    </row>
    <row r="128" spans="1:12">
      <c r="A128" s="72">
        <v>17</v>
      </c>
      <c r="B128" s="2772" t="s">
        <v>873</v>
      </c>
      <c r="C128" s="2773"/>
      <c r="D128" s="2773"/>
      <c r="E128" s="2773"/>
      <c r="F128" s="2774"/>
      <c r="G128" s="2467"/>
      <c r="H128" s="1175"/>
      <c r="I128" s="899"/>
      <c r="J128" s="749"/>
    </row>
    <row r="129" spans="1:11">
      <c r="A129" s="779">
        <v>18</v>
      </c>
      <c r="B129" s="2769" t="s">
        <v>874</v>
      </c>
      <c r="C129" s="2767"/>
      <c r="D129" s="2767"/>
      <c r="E129" s="2767"/>
      <c r="F129" s="2768"/>
      <c r="G129" s="2467"/>
      <c r="H129" s="1175"/>
      <c r="I129" s="899"/>
      <c r="J129" s="749"/>
    </row>
    <row r="130" spans="1:11">
      <c r="A130" s="72">
        <v>19</v>
      </c>
      <c r="B130" s="2769" t="s">
        <v>875</v>
      </c>
      <c r="C130" s="2767"/>
      <c r="D130" s="2767"/>
      <c r="E130" s="2767"/>
      <c r="F130" s="2768"/>
      <c r="G130" s="2467"/>
      <c r="H130" s="1175"/>
      <c r="I130" s="899"/>
      <c r="J130" s="749"/>
    </row>
    <row r="131" spans="1:11">
      <c r="A131" s="779">
        <v>20</v>
      </c>
      <c r="B131" s="2757" t="s">
        <v>905</v>
      </c>
      <c r="C131" s="2758"/>
      <c r="D131" s="2758"/>
      <c r="E131" s="2758"/>
      <c r="F131" s="2759"/>
      <c r="G131" s="2468"/>
      <c r="H131" s="1175"/>
      <c r="I131" s="899"/>
      <c r="J131" s="749"/>
    </row>
    <row r="132" spans="1:11">
      <c r="A132" s="72">
        <v>21</v>
      </c>
      <c r="B132" s="2781" t="s">
        <v>309</v>
      </c>
      <c r="C132" s="2770"/>
      <c r="D132" s="2770"/>
      <c r="E132" s="2770"/>
      <c r="F132" s="2771"/>
      <c r="G132" s="2467"/>
      <c r="H132" s="1175"/>
      <c r="I132" s="899"/>
      <c r="J132" s="75"/>
    </row>
    <row r="133" spans="1:11">
      <c r="A133" s="779">
        <v>22</v>
      </c>
      <c r="B133" s="2769" t="s">
        <v>876</v>
      </c>
      <c r="C133" s="2770"/>
      <c r="D133" s="2770"/>
      <c r="E133" s="2770"/>
      <c r="F133" s="2771"/>
      <c r="G133" s="2467"/>
      <c r="H133" s="1175"/>
      <c r="I133" s="899"/>
      <c r="J133" s="76"/>
    </row>
    <row r="134" spans="1:11">
      <c r="A134" s="72">
        <v>23</v>
      </c>
      <c r="B134" s="859" t="s">
        <v>877</v>
      </c>
      <c r="C134" s="860"/>
      <c r="D134" s="860"/>
      <c r="E134" s="860"/>
      <c r="F134" s="861"/>
      <c r="G134" s="2467"/>
      <c r="H134" s="1175"/>
      <c r="I134" s="899"/>
      <c r="J134" s="76"/>
    </row>
    <row r="135" spans="1:11">
      <c r="A135" s="779">
        <v>24</v>
      </c>
      <c r="B135" s="858" t="s">
        <v>878</v>
      </c>
      <c r="C135" s="862"/>
      <c r="D135" s="862"/>
      <c r="E135" s="862"/>
      <c r="F135" s="863"/>
      <c r="G135" s="2467"/>
      <c r="H135" s="1175"/>
      <c r="I135" s="899"/>
      <c r="J135" s="806"/>
    </row>
    <row r="136" spans="1:11">
      <c r="A136" s="72">
        <v>25</v>
      </c>
      <c r="B136" s="858" t="s">
        <v>30</v>
      </c>
      <c r="C136" s="862"/>
      <c r="D136" s="862"/>
      <c r="E136" s="862"/>
      <c r="F136" s="863"/>
      <c r="G136" s="2467"/>
      <c r="H136" s="1175"/>
      <c r="I136" s="899"/>
      <c r="J136" s="76"/>
    </row>
    <row r="137" spans="1:11">
      <c r="A137" s="779">
        <v>26</v>
      </c>
      <c r="B137" s="2339" t="s">
        <v>1284</v>
      </c>
      <c r="C137" s="862"/>
      <c r="D137" s="862"/>
      <c r="E137" s="862"/>
      <c r="F137" s="863"/>
      <c r="G137" s="2467"/>
      <c r="H137" s="1175"/>
      <c r="I137" s="899"/>
      <c r="J137" s="76"/>
    </row>
    <row r="138" spans="1:11">
      <c r="A138" s="72">
        <v>27</v>
      </c>
      <c r="B138" s="2766" t="s">
        <v>908</v>
      </c>
      <c r="C138" s="2767"/>
      <c r="D138" s="2767"/>
      <c r="E138" s="2767"/>
      <c r="F138" s="2768"/>
      <c r="G138" s="2467"/>
      <c r="H138" s="1175"/>
      <c r="I138" s="899"/>
      <c r="J138" s="76"/>
    </row>
    <row r="139" spans="1:11">
      <c r="A139" s="779">
        <v>28</v>
      </c>
      <c r="B139" s="2769"/>
      <c r="C139" s="2767"/>
      <c r="D139" s="2767"/>
      <c r="E139" s="2767"/>
      <c r="F139" s="2768"/>
      <c r="G139" s="2467"/>
      <c r="H139" s="1175"/>
      <c r="I139" s="899"/>
      <c r="J139" s="806"/>
      <c r="K139" s="25"/>
    </row>
    <row r="140" spans="1:11">
      <c r="A140" s="72">
        <v>29</v>
      </c>
      <c r="B140" s="2769"/>
      <c r="C140" s="2791"/>
      <c r="D140" s="2791"/>
      <c r="E140" s="2791"/>
      <c r="F140" s="2792"/>
      <c r="G140" s="2467"/>
      <c r="H140" s="1175"/>
      <c r="I140" s="1175"/>
      <c r="J140" s="806"/>
      <c r="K140" s="25"/>
    </row>
    <row r="141" spans="1:11">
      <c r="A141" s="779">
        <f>A140+1</f>
        <v>30</v>
      </c>
      <c r="B141" s="2769"/>
      <c r="C141" s="2791"/>
      <c r="D141" s="2791"/>
      <c r="E141" s="2791"/>
      <c r="F141" s="2792"/>
      <c r="G141" s="2467"/>
      <c r="H141" s="1175"/>
      <c r="I141" s="1175"/>
      <c r="J141" s="806"/>
    </row>
    <row r="142" spans="1:11">
      <c r="A142" s="72">
        <v>31</v>
      </c>
      <c r="B142" s="2769"/>
      <c r="C142" s="2791"/>
      <c r="D142" s="2791"/>
      <c r="E142" s="2791"/>
      <c r="F142" s="2792"/>
      <c r="G142" s="2467"/>
      <c r="H142" s="1175"/>
      <c r="I142" s="1175"/>
      <c r="J142" s="806"/>
    </row>
    <row r="143" spans="1:11">
      <c r="A143" s="779">
        <v>32</v>
      </c>
      <c r="B143" s="2769"/>
      <c r="C143" s="2791"/>
      <c r="D143" s="2791"/>
      <c r="E143" s="2791"/>
      <c r="F143" s="2792"/>
      <c r="G143" s="2467"/>
      <c r="H143" s="1175"/>
      <c r="I143" s="1175"/>
      <c r="J143" s="76"/>
    </row>
    <row r="144" spans="1:11">
      <c r="A144" s="72">
        <v>33</v>
      </c>
      <c r="B144" s="2769"/>
      <c r="C144" s="2791"/>
      <c r="D144" s="2791"/>
      <c r="E144" s="2791"/>
      <c r="F144" s="2792"/>
      <c r="G144" s="2467"/>
      <c r="H144" s="1175"/>
      <c r="I144" s="1175"/>
      <c r="J144" s="76"/>
    </row>
    <row r="145" spans="1:12">
      <c r="A145" s="779">
        <v>34</v>
      </c>
      <c r="B145" s="2769"/>
      <c r="C145" s="2791"/>
      <c r="D145" s="2791"/>
      <c r="E145" s="2791"/>
      <c r="F145" s="2792"/>
      <c r="G145" s="2467"/>
      <c r="H145" s="1175"/>
      <c r="I145" s="1175"/>
      <c r="J145" s="76"/>
    </row>
    <row r="146" spans="1:12">
      <c r="A146" s="72">
        <v>35</v>
      </c>
      <c r="B146" s="2769"/>
      <c r="C146" s="2791"/>
      <c r="D146" s="2791"/>
      <c r="E146" s="2791"/>
      <c r="F146" s="2792"/>
      <c r="G146" s="2467"/>
      <c r="H146" s="1175"/>
      <c r="I146" s="1175"/>
      <c r="J146" s="76"/>
    </row>
    <row r="147" spans="1:12" ht="14" thickBot="1">
      <c r="A147" s="779">
        <v>36</v>
      </c>
      <c r="B147" s="2793"/>
      <c r="C147" s="2794"/>
      <c r="D147" s="2794"/>
      <c r="E147" s="2794"/>
      <c r="F147" s="2795"/>
      <c r="G147" s="2470"/>
      <c r="H147" s="900"/>
      <c r="I147" s="900"/>
      <c r="J147" s="75"/>
      <c r="L147" s="876">
        <f>ROW(K147)</f>
        <v>147</v>
      </c>
    </row>
    <row r="148" spans="1:12" ht="17" thickBot="1">
      <c r="A148" s="219" t="s">
        <v>296</v>
      </c>
      <c r="B148" s="220" t="s">
        <v>1296</v>
      </c>
      <c r="C148" s="620"/>
      <c r="D148" s="620"/>
      <c r="E148" s="620"/>
      <c r="F148" s="621"/>
      <c r="G148" s="621"/>
      <c r="H148" s="621">
        <f>SUM(H112:H147)</f>
        <v>0</v>
      </c>
      <c r="I148" s="621">
        <f>SUM(I112:I147)</f>
        <v>0</v>
      </c>
      <c r="J148" s="221"/>
      <c r="K148" s="840"/>
    </row>
    <row r="149" spans="1:12">
      <c r="A149"/>
      <c r="B149"/>
      <c r="C149"/>
      <c r="D149"/>
      <c r="E149"/>
      <c r="F149"/>
      <c r="G149"/>
      <c r="H149"/>
    </row>
    <row r="150" spans="1:12">
      <c r="B150"/>
      <c r="C150"/>
    </row>
    <row r="151" spans="1:12">
      <c r="B151" s="2796"/>
      <c r="C151" s="2796"/>
      <c r="D151" s="27"/>
    </row>
    <row r="152" spans="1:12">
      <c r="B152" s="28"/>
      <c r="C152" s="28"/>
      <c r="D152" s="27"/>
    </row>
  </sheetData>
  <sheetProtection sheet="1" formatCells="0" formatColumns="0" formatRows="0"/>
  <mergeCells count="66">
    <mergeCell ref="A2:J2"/>
    <mergeCell ref="A17:J17"/>
    <mergeCell ref="A36:J36"/>
    <mergeCell ref="A93:J93"/>
    <mergeCell ref="A51:J51"/>
    <mergeCell ref="B34:F34"/>
    <mergeCell ref="B68:F68"/>
    <mergeCell ref="A70:J70"/>
    <mergeCell ref="A3:B3"/>
    <mergeCell ref="D3:J3"/>
    <mergeCell ref="A37:B37"/>
    <mergeCell ref="D37:J37"/>
    <mergeCell ref="A71:B71"/>
    <mergeCell ref="D71:J71"/>
    <mergeCell ref="B91:F91"/>
    <mergeCell ref="A81:J81"/>
    <mergeCell ref="B146:F146"/>
    <mergeCell ref="B147:F147"/>
    <mergeCell ref="B151:C151"/>
    <mergeCell ref="B138:F138"/>
    <mergeCell ref="B144:F144"/>
    <mergeCell ref="B141:F141"/>
    <mergeCell ref="B142:F142"/>
    <mergeCell ref="B143:F143"/>
    <mergeCell ref="B139:F139"/>
    <mergeCell ref="B140:F140"/>
    <mergeCell ref="B145:F145"/>
    <mergeCell ref="B132:F132"/>
    <mergeCell ref="B133:F133"/>
    <mergeCell ref="D95:F95"/>
    <mergeCell ref="B118:F118"/>
    <mergeCell ref="B120:F120"/>
    <mergeCell ref="B121:F121"/>
    <mergeCell ref="B122:F122"/>
    <mergeCell ref="B123:F123"/>
    <mergeCell ref="B124:F124"/>
    <mergeCell ref="B112:F112"/>
    <mergeCell ref="B117:F117"/>
    <mergeCell ref="B106:F106"/>
    <mergeCell ref="B107:F107"/>
    <mergeCell ref="A109:J109"/>
    <mergeCell ref="J95:J108"/>
    <mergeCell ref="B98:F98"/>
    <mergeCell ref="B130:F130"/>
    <mergeCell ref="B100:F100"/>
    <mergeCell ref="B101:F101"/>
    <mergeCell ref="B102:F102"/>
    <mergeCell ref="B105:F105"/>
    <mergeCell ref="B103:F103"/>
    <mergeCell ref="B104:F104"/>
    <mergeCell ref="B99:F99"/>
    <mergeCell ref="B96:F96"/>
    <mergeCell ref="D111:F111"/>
    <mergeCell ref="A94:J94"/>
    <mergeCell ref="B131:F131"/>
    <mergeCell ref="B115:F115"/>
    <mergeCell ref="B116:F116"/>
    <mergeCell ref="B113:F113"/>
    <mergeCell ref="B119:F119"/>
    <mergeCell ref="B125:F125"/>
    <mergeCell ref="B126:F126"/>
    <mergeCell ref="B127:F127"/>
    <mergeCell ref="B128:F128"/>
    <mergeCell ref="B129:F129"/>
    <mergeCell ref="A110:J110"/>
    <mergeCell ref="B97:F97"/>
  </mergeCells>
  <phoneticPr fontId="55" type="noConversion"/>
  <dataValidations count="5">
    <dataValidation type="whole" allowBlank="1" showInputMessage="1" showErrorMessage="1" sqref="I33 I67" xr:uid="{00000000-0002-0000-0600-000000000000}">
      <formula1>-1000000</formula1>
      <formula2>0</formula2>
    </dataValidation>
    <dataValidation type="decimal" allowBlank="1" showInputMessage="1" showErrorMessage="1" sqref="F6:F15" xr:uid="{00000000-0002-0000-0600-000001000000}">
      <formula1>1</formula1>
      <formula2>7</formula2>
    </dataValidation>
    <dataValidation type="decimal" allowBlank="1" showInputMessage="1" showErrorMessage="1" sqref="F20:F29" xr:uid="{00000000-0002-0000-0600-000002000000}">
      <formula1>1</formula1>
      <formula2>5</formula2>
    </dataValidation>
    <dataValidation type="decimal" allowBlank="1" showInputMessage="1" showErrorMessage="1" sqref="F74:F79 F40:F49" xr:uid="{00000000-0002-0000-0600-000003000000}">
      <formula1>0</formula1>
      <formula2>7</formula2>
    </dataValidation>
    <dataValidation type="decimal" allowBlank="1" showInputMessage="1" showErrorMessage="1" sqref="F84:F89 F54:F63" xr:uid="{00000000-0002-0000-0600-000004000000}">
      <formula1>0</formula1>
      <formula2>5</formula2>
    </dataValidation>
  </dataValidations>
  <printOptions horizontalCentered="1"/>
  <pageMargins left="0.67" right="0.67" top="0.98" bottom="0.83" header="0.51" footer="0.51"/>
  <pageSetup paperSize="9" scale="83" orientation="portrait" horizontalDpi="4294967292" verticalDpi="4294967292"/>
  <headerFooter alignWithMargins="0">
    <oddHeader>&amp;C&amp;"Arial,Fed"&amp;12Skolepenge og øvrige indtægter</oddHeader>
    <oddFooter>&amp;L&amp;G&amp;R
&amp;D
&amp;A</oddFooter>
  </headerFooter>
  <rowBreaks count="3" manualBreakCount="3">
    <brk id="34" max="16383" man="1"/>
    <brk id="68" max="16383" man="1"/>
    <brk id="91" max="16383" man="1"/>
  </rowBreaks>
  <colBreaks count="1" manualBreakCount="1">
    <brk id="10"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tabColor rgb="FFFF0000"/>
    <pageSetUpPr fitToPage="1"/>
  </sheetPr>
  <dimension ref="A1:BO185"/>
  <sheetViews>
    <sheetView zoomScale="167" zoomScaleNormal="100" zoomScaleSheetLayoutView="100" workbookViewId="0">
      <pane xSplit="2" ySplit="3" topLeftCell="AA48" activePane="bottomRight" state="frozen"/>
      <selection activeCell="A40" sqref="A40:B40"/>
      <selection pane="topRight" activeCell="A40" sqref="A40:B40"/>
      <selection pane="bottomLeft" activeCell="A40" sqref="A40:B40"/>
      <selection pane="bottomRight" activeCell="AB53" sqref="AB53"/>
    </sheetView>
  </sheetViews>
  <sheetFormatPr baseColWidth="10" defaultColWidth="21" defaultRowHeight="13"/>
  <cols>
    <col min="1" max="1" width="3.83203125" style="101" customWidth="1"/>
    <col min="2" max="2" width="84" style="98" customWidth="1"/>
    <col min="3" max="29" width="16.6640625" style="103" customWidth="1"/>
    <col min="30" max="30" width="44.6640625" style="98" customWidth="1"/>
    <col min="31" max="31" width="34.83203125" style="98" customWidth="1"/>
    <col min="32" max="268" width="21" style="98"/>
    <col min="269" max="269" width="2.6640625" style="98" customWidth="1"/>
    <col min="270" max="270" width="31" style="98" customWidth="1"/>
    <col min="271" max="271" width="11.1640625" style="98" customWidth="1"/>
    <col min="272" max="272" width="11" style="98" bestFit="1" customWidth="1"/>
    <col min="273" max="282" width="10" style="98" customWidth="1"/>
    <col min="283" max="283" width="44.6640625" style="98" customWidth="1"/>
    <col min="284" max="284" width="7.5" style="98" customWidth="1"/>
    <col min="285" max="524" width="21" style="98"/>
    <col min="525" max="525" width="2.6640625" style="98" customWidth="1"/>
    <col min="526" max="526" width="31" style="98" customWidth="1"/>
    <col min="527" max="527" width="11.1640625" style="98" customWidth="1"/>
    <col min="528" max="528" width="11" style="98" bestFit="1" customWidth="1"/>
    <col min="529" max="538" width="10" style="98" customWidth="1"/>
    <col min="539" max="539" width="44.6640625" style="98" customWidth="1"/>
    <col min="540" max="540" width="7.5" style="98" customWidth="1"/>
    <col min="541" max="780" width="21" style="98"/>
    <col min="781" max="781" width="2.6640625" style="98" customWidth="1"/>
    <col min="782" max="782" width="31" style="98" customWidth="1"/>
    <col min="783" max="783" width="11.1640625" style="98" customWidth="1"/>
    <col min="784" max="784" width="11" style="98" bestFit="1" customWidth="1"/>
    <col min="785" max="794" width="10" style="98" customWidth="1"/>
    <col min="795" max="795" width="44.6640625" style="98" customWidth="1"/>
    <col min="796" max="796" width="7.5" style="98" customWidth="1"/>
    <col min="797" max="1036" width="21" style="98"/>
    <col min="1037" max="1037" width="2.6640625" style="98" customWidth="1"/>
    <col min="1038" max="1038" width="31" style="98" customWidth="1"/>
    <col min="1039" max="1039" width="11.1640625" style="98" customWidth="1"/>
    <col min="1040" max="1040" width="11" style="98" bestFit="1" customWidth="1"/>
    <col min="1041" max="1050" width="10" style="98" customWidth="1"/>
    <col min="1051" max="1051" width="44.6640625" style="98" customWidth="1"/>
    <col min="1052" max="1052" width="7.5" style="98" customWidth="1"/>
    <col min="1053" max="1292" width="21" style="98"/>
    <col min="1293" max="1293" width="2.6640625" style="98" customWidth="1"/>
    <col min="1294" max="1294" width="31" style="98" customWidth="1"/>
    <col min="1295" max="1295" width="11.1640625" style="98" customWidth="1"/>
    <col min="1296" max="1296" width="11" style="98" bestFit="1" customWidth="1"/>
    <col min="1297" max="1306" width="10" style="98" customWidth="1"/>
    <col min="1307" max="1307" width="44.6640625" style="98" customWidth="1"/>
    <col min="1308" max="1308" width="7.5" style="98" customWidth="1"/>
    <col min="1309" max="1548" width="21" style="98"/>
    <col min="1549" max="1549" width="2.6640625" style="98" customWidth="1"/>
    <col min="1550" max="1550" width="31" style="98" customWidth="1"/>
    <col min="1551" max="1551" width="11.1640625" style="98" customWidth="1"/>
    <col min="1552" max="1552" width="11" style="98" bestFit="1" customWidth="1"/>
    <col min="1553" max="1562" width="10" style="98" customWidth="1"/>
    <col min="1563" max="1563" width="44.6640625" style="98" customWidth="1"/>
    <col min="1564" max="1564" width="7.5" style="98" customWidth="1"/>
    <col min="1565" max="1804" width="21" style="98"/>
    <col min="1805" max="1805" width="2.6640625" style="98" customWidth="1"/>
    <col min="1806" max="1806" width="31" style="98" customWidth="1"/>
    <col min="1807" max="1807" width="11.1640625" style="98" customWidth="1"/>
    <col min="1808" max="1808" width="11" style="98" bestFit="1" customWidth="1"/>
    <col min="1809" max="1818" width="10" style="98" customWidth="1"/>
    <col min="1819" max="1819" width="44.6640625" style="98" customWidth="1"/>
    <col min="1820" max="1820" width="7.5" style="98" customWidth="1"/>
    <col min="1821" max="2060" width="21" style="98"/>
    <col min="2061" max="2061" width="2.6640625" style="98" customWidth="1"/>
    <col min="2062" max="2062" width="31" style="98" customWidth="1"/>
    <col min="2063" max="2063" width="11.1640625" style="98" customWidth="1"/>
    <col min="2064" max="2064" width="11" style="98" bestFit="1" customWidth="1"/>
    <col min="2065" max="2074" width="10" style="98" customWidth="1"/>
    <col min="2075" max="2075" width="44.6640625" style="98" customWidth="1"/>
    <col min="2076" max="2076" width="7.5" style="98" customWidth="1"/>
    <col min="2077" max="2316" width="21" style="98"/>
    <col min="2317" max="2317" width="2.6640625" style="98" customWidth="1"/>
    <col min="2318" max="2318" width="31" style="98" customWidth="1"/>
    <col min="2319" max="2319" width="11.1640625" style="98" customWidth="1"/>
    <col min="2320" max="2320" width="11" style="98" bestFit="1" customWidth="1"/>
    <col min="2321" max="2330" width="10" style="98" customWidth="1"/>
    <col min="2331" max="2331" width="44.6640625" style="98" customWidth="1"/>
    <col min="2332" max="2332" width="7.5" style="98" customWidth="1"/>
    <col min="2333" max="2572" width="21" style="98"/>
    <col min="2573" max="2573" width="2.6640625" style="98" customWidth="1"/>
    <col min="2574" max="2574" width="31" style="98" customWidth="1"/>
    <col min="2575" max="2575" width="11.1640625" style="98" customWidth="1"/>
    <col min="2576" max="2576" width="11" style="98" bestFit="1" customWidth="1"/>
    <col min="2577" max="2586" width="10" style="98" customWidth="1"/>
    <col min="2587" max="2587" width="44.6640625" style="98" customWidth="1"/>
    <col min="2588" max="2588" width="7.5" style="98" customWidth="1"/>
    <col min="2589" max="2828" width="21" style="98"/>
    <col min="2829" max="2829" width="2.6640625" style="98" customWidth="1"/>
    <col min="2830" max="2830" width="31" style="98" customWidth="1"/>
    <col min="2831" max="2831" width="11.1640625" style="98" customWidth="1"/>
    <col min="2832" max="2832" width="11" style="98" bestFit="1" customWidth="1"/>
    <col min="2833" max="2842" width="10" style="98" customWidth="1"/>
    <col min="2843" max="2843" width="44.6640625" style="98" customWidth="1"/>
    <col min="2844" max="2844" width="7.5" style="98" customWidth="1"/>
    <col min="2845" max="3084" width="21" style="98"/>
    <col min="3085" max="3085" width="2.6640625" style="98" customWidth="1"/>
    <col min="3086" max="3086" width="31" style="98" customWidth="1"/>
    <col min="3087" max="3087" width="11.1640625" style="98" customWidth="1"/>
    <col min="3088" max="3088" width="11" style="98" bestFit="1" customWidth="1"/>
    <col min="3089" max="3098" width="10" style="98" customWidth="1"/>
    <col min="3099" max="3099" width="44.6640625" style="98" customWidth="1"/>
    <col min="3100" max="3100" width="7.5" style="98" customWidth="1"/>
    <col min="3101" max="3340" width="21" style="98"/>
    <col min="3341" max="3341" width="2.6640625" style="98" customWidth="1"/>
    <col min="3342" max="3342" width="31" style="98" customWidth="1"/>
    <col min="3343" max="3343" width="11.1640625" style="98" customWidth="1"/>
    <col min="3344" max="3344" width="11" style="98" bestFit="1" customWidth="1"/>
    <col min="3345" max="3354" width="10" style="98" customWidth="1"/>
    <col min="3355" max="3355" width="44.6640625" style="98" customWidth="1"/>
    <col min="3356" max="3356" width="7.5" style="98" customWidth="1"/>
    <col min="3357" max="3596" width="21" style="98"/>
    <col min="3597" max="3597" width="2.6640625" style="98" customWidth="1"/>
    <col min="3598" max="3598" width="31" style="98" customWidth="1"/>
    <col min="3599" max="3599" width="11.1640625" style="98" customWidth="1"/>
    <col min="3600" max="3600" width="11" style="98" bestFit="1" customWidth="1"/>
    <col min="3601" max="3610" width="10" style="98" customWidth="1"/>
    <col min="3611" max="3611" width="44.6640625" style="98" customWidth="1"/>
    <col min="3612" max="3612" width="7.5" style="98" customWidth="1"/>
    <col min="3613" max="3852" width="21" style="98"/>
    <col min="3853" max="3853" width="2.6640625" style="98" customWidth="1"/>
    <col min="3854" max="3854" width="31" style="98" customWidth="1"/>
    <col min="3855" max="3855" width="11.1640625" style="98" customWidth="1"/>
    <col min="3856" max="3856" width="11" style="98" bestFit="1" customWidth="1"/>
    <col min="3857" max="3866" width="10" style="98" customWidth="1"/>
    <col min="3867" max="3867" width="44.6640625" style="98" customWidth="1"/>
    <col min="3868" max="3868" width="7.5" style="98" customWidth="1"/>
    <col min="3869" max="4108" width="21" style="98"/>
    <col min="4109" max="4109" width="2.6640625" style="98" customWidth="1"/>
    <col min="4110" max="4110" width="31" style="98" customWidth="1"/>
    <col min="4111" max="4111" width="11.1640625" style="98" customWidth="1"/>
    <col min="4112" max="4112" width="11" style="98" bestFit="1" customWidth="1"/>
    <col min="4113" max="4122" width="10" style="98" customWidth="1"/>
    <col min="4123" max="4123" width="44.6640625" style="98" customWidth="1"/>
    <col min="4124" max="4124" width="7.5" style="98" customWidth="1"/>
    <col min="4125" max="4364" width="21" style="98"/>
    <col min="4365" max="4365" width="2.6640625" style="98" customWidth="1"/>
    <col min="4366" max="4366" width="31" style="98" customWidth="1"/>
    <col min="4367" max="4367" width="11.1640625" style="98" customWidth="1"/>
    <col min="4368" max="4368" width="11" style="98" bestFit="1" customWidth="1"/>
    <col min="4369" max="4378" width="10" style="98" customWidth="1"/>
    <col min="4379" max="4379" width="44.6640625" style="98" customWidth="1"/>
    <col min="4380" max="4380" width="7.5" style="98" customWidth="1"/>
    <col min="4381" max="4620" width="21" style="98"/>
    <col min="4621" max="4621" width="2.6640625" style="98" customWidth="1"/>
    <col min="4622" max="4622" width="31" style="98" customWidth="1"/>
    <col min="4623" max="4623" width="11.1640625" style="98" customWidth="1"/>
    <col min="4624" max="4624" width="11" style="98" bestFit="1" customWidth="1"/>
    <col min="4625" max="4634" width="10" style="98" customWidth="1"/>
    <col min="4635" max="4635" width="44.6640625" style="98" customWidth="1"/>
    <col min="4636" max="4636" width="7.5" style="98" customWidth="1"/>
    <col min="4637" max="4876" width="21" style="98"/>
    <col min="4877" max="4877" width="2.6640625" style="98" customWidth="1"/>
    <col min="4878" max="4878" width="31" style="98" customWidth="1"/>
    <col min="4879" max="4879" width="11.1640625" style="98" customWidth="1"/>
    <col min="4880" max="4880" width="11" style="98" bestFit="1" customWidth="1"/>
    <col min="4881" max="4890" width="10" style="98" customWidth="1"/>
    <col min="4891" max="4891" width="44.6640625" style="98" customWidth="1"/>
    <col min="4892" max="4892" width="7.5" style="98" customWidth="1"/>
    <col min="4893" max="5132" width="21" style="98"/>
    <col min="5133" max="5133" width="2.6640625" style="98" customWidth="1"/>
    <col min="5134" max="5134" width="31" style="98" customWidth="1"/>
    <col min="5135" max="5135" width="11.1640625" style="98" customWidth="1"/>
    <col min="5136" max="5136" width="11" style="98" bestFit="1" customWidth="1"/>
    <col min="5137" max="5146" width="10" style="98" customWidth="1"/>
    <col min="5147" max="5147" width="44.6640625" style="98" customWidth="1"/>
    <col min="5148" max="5148" width="7.5" style="98" customWidth="1"/>
    <col min="5149" max="5388" width="21" style="98"/>
    <col min="5389" max="5389" width="2.6640625" style="98" customWidth="1"/>
    <col min="5390" max="5390" width="31" style="98" customWidth="1"/>
    <col min="5391" max="5391" width="11.1640625" style="98" customWidth="1"/>
    <col min="5392" max="5392" width="11" style="98" bestFit="1" customWidth="1"/>
    <col min="5393" max="5402" width="10" style="98" customWidth="1"/>
    <col min="5403" max="5403" width="44.6640625" style="98" customWidth="1"/>
    <col min="5404" max="5404" width="7.5" style="98" customWidth="1"/>
    <col min="5405" max="5644" width="21" style="98"/>
    <col min="5645" max="5645" width="2.6640625" style="98" customWidth="1"/>
    <col min="5646" max="5646" width="31" style="98" customWidth="1"/>
    <col min="5647" max="5647" width="11.1640625" style="98" customWidth="1"/>
    <col min="5648" max="5648" width="11" style="98" bestFit="1" customWidth="1"/>
    <col min="5649" max="5658" width="10" style="98" customWidth="1"/>
    <col min="5659" max="5659" width="44.6640625" style="98" customWidth="1"/>
    <col min="5660" max="5660" width="7.5" style="98" customWidth="1"/>
    <col min="5661" max="5900" width="21" style="98"/>
    <col min="5901" max="5901" width="2.6640625" style="98" customWidth="1"/>
    <col min="5902" max="5902" width="31" style="98" customWidth="1"/>
    <col min="5903" max="5903" width="11.1640625" style="98" customWidth="1"/>
    <col min="5904" max="5904" width="11" style="98" bestFit="1" customWidth="1"/>
    <col min="5905" max="5914" width="10" style="98" customWidth="1"/>
    <col min="5915" max="5915" width="44.6640625" style="98" customWidth="1"/>
    <col min="5916" max="5916" width="7.5" style="98" customWidth="1"/>
    <col min="5917" max="6156" width="21" style="98"/>
    <col min="6157" max="6157" width="2.6640625" style="98" customWidth="1"/>
    <col min="6158" max="6158" width="31" style="98" customWidth="1"/>
    <col min="6159" max="6159" width="11.1640625" style="98" customWidth="1"/>
    <col min="6160" max="6160" width="11" style="98" bestFit="1" customWidth="1"/>
    <col min="6161" max="6170" width="10" style="98" customWidth="1"/>
    <col min="6171" max="6171" width="44.6640625" style="98" customWidth="1"/>
    <col min="6172" max="6172" width="7.5" style="98" customWidth="1"/>
    <col min="6173" max="6412" width="21" style="98"/>
    <col min="6413" max="6413" width="2.6640625" style="98" customWidth="1"/>
    <col min="6414" max="6414" width="31" style="98" customWidth="1"/>
    <col min="6415" max="6415" width="11.1640625" style="98" customWidth="1"/>
    <col min="6416" max="6416" width="11" style="98" bestFit="1" customWidth="1"/>
    <col min="6417" max="6426" width="10" style="98" customWidth="1"/>
    <col min="6427" max="6427" width="44.6640625" style="98" customWidth="1"/>
    <col min="6428" max="6428" width="7.5" style="98" customWidth="1"/>
    <col min="6429" max="6668" width="21" style="98"/>
    <col min="6669" max="6669" width="2.6640625" style="98" customWidth="1"/>
    <col min="6670" max="6670" width="31" style="98" customWidth="1"/>
    <col min="6671" max="6671" width="11.1640625" style="98" customWidth="1"/>
    <col min="6672" max="6672" width="11" style="98" bestFit="1" customWidth="1"/>
    <col min="6673" max="6682" width="10" style="98" customWidth="1"/>
    <col min="6683" max="6683" width="44.6640625" style="98" customWidth="1"/>
    <col min="6684" max="6684" width="7.5" style="98" customWidth="1"/>
    <col min="6685" max="6924" width="21" style="98"/>
    <col min="6925" max="6925" width="2.6640625" style="98" customWidth="1"/>
    <col min="6926" max="6926" width="31" style="98" customWidth="1"/>
    <col min="6927" max="6927" width="11.1640625" style="98" customWidth="1"/>
    <col min="6928" max="6928" width="11" style="98" bestFit="1" customWidth="1"/>
    <col min="6929" max="6938" width="10" style="98" customWidth="1"/>
    <col min="6939" max="6939" width="44.6640625" style="98" customWidth="1"/>
    <col min="6940" max="6940" width="7.5" style="98" customWidth="1"/>
    <col min="6941" max="7180" width="21" style="98"/>
    <col min="7181" max="7181" width="2.6640625" style="98" customWidth="1"/>
    <col min="7182" max="7182" width="31" style="98" customWidth="1"/>
    <col min="7183" max="7183" width="11.1640625" style="98" customWidth="1"/>
    <col min="7184" max="7184" width="11" style="98" bestFit="1" customWidth="1"/>
    <col min="7185" max="7194" width="10" style="98" customWidth="1"/>
    <col min="7195" max="7195" width="44.6640625" style="98" customWidth="1"/>
    <col min="7196" max="7196" width="7.5" style="98" customWidth="1"/>
    <col min="7197" max="7436" width="21" style="98"/>
    <col min="7437" max="7437" width="2.6640625" style="98" customWidth="1"/>
    <col min="7438" max="7438" width="31" style="98" customWidth="1"/>
    <col min="7439" max="7439" width="11.1640625" style="98" customWidth="1"/>
    <col min="7440" max="7440" width="11" style="98" bestFit="1" customWidth="1"/>
    <col min="7441" max="7450" width="10" style="98" customWidth="1"/>
    <col min="7451" max="7451" width="44.6640625" style="98" customWidth="1"/>
    <col min="7452" max="7452" width="7.5" style="98" customWidth="1"/>
    <col min="7453" max="7692" width="21" style="98"/>
    <col min="7693" max="7693" width="2.6640625" style="98" customWidth="1"/>
    <col min="7694" max="7694" width="31" style="98" customWidth="1"/>
    <col min="7695" max="7695" width="11.1640625" style="98" customWidth="1"/>
    <col min="7696" max="7696" width="11" style="98" bestFit="1" customWidth="1"/>
    <col min="7697" max="7706" width="10" style="98" customWidth="1"/>
    <col min="7707" max="7707" width="44.6640625" style="98" customWidth="1"/>
    <col min="7708" max="7708" width="7.5" style="98" customWidth="1"/>
    <col min="7709" max="7948" width="21" style="98"/>
    <col min="7949" max="7949" width="2.6640625" style="98" customWidth="1"/>
    <col min="7950" max="7950" width="31" style="98" customWidth="1"/>
    <col min="7951" max="7951" width="11.1640625" style="98" customWidth="1"/>
    <col min="7952" max="7952" width="11" style="98" bestFit="1" customWidth="1"/>
    <col min="7953" max="7962" width="10" style="98" customWidth="1"/>
    <col min="7963" max="7963" width="44.6640625" style="98" customWidth="1"/>
    <col min="7964" max="7964" width="7.5" style="98" customWidth="1"/>
    <col min="7965" max="8204" width="21" style="98"/>
    <col min="8205" max="8205" width="2.6640625" style="98" customWidth="1"/>
    <col min="8206" max="8206" width="31" style="98" customWidth="1"/>
    <col min="8207" max="8207" width="11.1640625" style="98" customWidth="1"/>
    <col min="8208" max="8208" width="11" style="98" bestFit="1" customWidth="1"/>
    <col min="8209" max="8218" width="10" style="98" customWidth="1"/>
    <col min="8219" max="8219" width="44.6640625" style="98" customWidth="1"/>
    <col min="8220" max="8220" width="7.5" style="98" customWidth="1"/>
    <col min="8221" max="8460" width="21" style="98"/>
    <col min="8461" max="8461" width="2.6640625" style="98" customWidth="1"/>
    <col min="8462" max="8462" width="31" style="98" customWidth="1"/>
    <col min="8463" max="8463" width="11.1640625" style="98" customWidth="1"/>
    <col min="8464" max="8464" width="11" style="98" bestFit="1" customWidth="1"/>
    <col min="8465" max="8474" width="10" style="98" customWidth="1"/>
    <col min="8475" max="8475" width="44.6640625" style="98" customWidth="1"/>
    <col min="8476" max="8476" width="7.5" style="98" customWidth="1"/>
    <col min="8477" max="8716" width="21" style="98"/>
    <col min="8717" max="8717" width="2.6640625" style="98" customWidth="1"/>
    <col min="8718" max="8718" width="31" style="98" customWidth="1"/>
    <col min="8719" max="8719" width="11.1640625" style="98" customWidth="1"/>
    <col min="8720" max="8720" width="11" style="98" bestFit="1" customWidth="1"/>
    <col min="8721" max="8730" width="10" style="98" customWidth="1"/>
    <col min="8731" max="8731" width="44.6640625" style="98" customWidth="1"/>
    <col min="8732" max="8732" width="7.5" style="98" customWidth="1"/>
    <col min="8733" max="8972" width="21" style="98"/>
    <col min="8973" max="8973" width="2.6640625" style="98" customWidth="1"/>
    <col min="8974" max="8974" width="31" style="98" customWidth="1"/>
    <col min="8975" max="8975" width="11.1640625" style="98" customWidth="1"/>
    <col min="8976" max="8976" width="11" style="98" bestFit="1" customWidth="1"/>
    <col min="8977" max="8986" width="10" style="98" customWidth="1"/>
    <col min="8987" max="8987" width="44.6640625" style="98" customWidth="1"/>
    <col min="8988" max="8988" width="7.5" style="98" customWidth="1"/>
    <col min="8989" max="9228" width="21" style="98"/>
    <col min="9229" max="9229" width="2.6640625" style="98" customWidth="1"/>
    <col min="9230" max="9230" width="31" style="98" customWidth="1"/>
    <col min="9231" max="9231" width="11.1640625" style="98" customWidth="1"/>
    <col min="9232" max="9232" width="11" style="98" bestFit="1" customWidth="1"/>
    <col min="9233" max="9242" width="10" style="98" customWidth="1"/>
    <col min="9243" max="9243" width="44.6640625" style="98" customWidth="1"/>
    <col min="9244" max="9244" width="7.5" style="98" customWidth="1"/>
    <col min="9245" max="9484" width="21" style="98"/>
    <col min="9485" max="9485" width="2.6640625" style="98" customWidth="1"/>
    <col min="9486" max="9486" width="31" style="98" customWidth="1"/>
    <col min="9487" max="9487" width="11.1640625" style="98" customWidth="1"/>
    <col min="9488" max="9488" width="11" style="98" bestFit="1" customWidth="1"/>
    <col min="9489" max="9498" width="10" style="98" customWidth="1"/>
    <col min="9499" max="9499" width="44.6640625" style="98" customWidth="1"/>
    <col min="9500" max="9500" width="7.5" style="98" customWidth="1"/>
    <col min="9501" max="9740" width="21" style="98"/>
    <col min="9741" max="9741" width="2.6640625" style="98" customWidth="1"/>
    <col min="9742" max="9742" width="31" style="98" customWidth="1"/>
    <col min="9743" max="9743" width="11.1640625" style="98" customWidth="1"/>
    <col min="9744" max="9744" width="11" style="98" bestFit="1" customWidth="1"/>
    <col min="9745" max="9754" width="10" style="98" customWidth="1"/>
    <col min="9755" max="9755" width="44.6640625" style="98" customWidth="1"/>
    <col min="9756" max="9756" width="7.5" style="98" customWidth="1"/>
    <col min="9757" max="9996" width="21" style="98"/>
    <col min="9997" max="9997" width="2.6640625" style="98" customWidth="1"/>
    <col min="9998" max="9998" width="31" style="98" customWidth="1"/>
    <col min="9999" max="9999" width="11.1640625" style="98" customWidth="1"/>
    <col min="10000" max="10000" width="11" style="98" bestFit="1" customWidth="1"/>
    <col min="10001" max="10010" width="10" style="98" customWidth="1"/>
    <col min="10011" max="10011" width="44.6640625" style="98" customWidth="1"/>
    <col min="10012" max="10012" width="7.5" style="98" customWidth="1"/>
    <col min="10013" max="10252" width="21" style="98"/>
    <col min="10253" max="10253" width="2.6640625" style="98" customWidth="1"/>
    <col min="10254" max="10254" width="31" style="98" customWidth="1"/>
    <col min="10255" max="10255" width="11.1640625" style="98" customWidth="1"/>
    <col min="10256" max="10256" width="11" style="98" bestFit="1" customWidth="1"/>
    <col min="10257" max="10266" width="10" style="98" customWidth="1"/>
    <col min="10267" max="10267" width="44.6640625" style="98" customWidth="1"/>
    <col min="10268" max="10268" width="7.5" style="98" customWidth="1"/>
    <col min="10269" max="10508" width="21" style="98"/>
    <col min="10509" max="10509" width="2.6640625" style="98" customWidth="1"/>
    <col min="10510" max="10510" width="31" style="98" customWidth="1"/>
    <col min="10511" max="10511" width="11.1640625" style="98" customWidth="1"/>
    <col min="10512" max="10512" width="11" style="98" bestFit="1" customWidth="1"/>
    <col min="10513" max="10522" width="10" style="98" customWidth="1"/>
    <col min="10523" max="10523" width="44.6640625" style="98" customWidth="1"/>
    <col min="10524" max="10524" width="7.5" style="98" customWidth="1"/>
    <col min="10525" max="10764" width="21" style="98"/>
    <col min="10765" max="10765" width="2.6640625" style="98" customWidth="1"/>
    <col min="10766" max="10766" width="31" style="98" customWidth="1"/>
    <col min="10767" max="10767" width="11.1640625" style="98" customWidth="1"/>
    <col min="10768" max="10768" width="11" style="98" bestFit="1" customWidth="1"/>
    <col min="10769" max="10778" width="10" style="98" customWidth="1"/>
    <col min="10779" max="10779" width="44.6640625" style="98" customWidth="1"/>
    <col min="10780" max="10780" width="7.5" style="98" customWidth="1"/>
    <col min="10781" max="11020" width="21" style="98"/>
    <col min="11021" max="11021" width="2.6640625" style="98" customWidth="1"/>
    <col min="11022" max="11022" width="31" style="98" customWidth="1"/>
    <col min="11023" max="11023" width="11.1640625" style="98" customWidth="1"/>
    <col min="11024" max="11024" width="11" style="98" bestFit="1" customWidth="1"/>
    <col min="11025" max="11034" width="10" style="98" customWidth="1"/>
    <col min="11035" max="11035" width="44.6640625" style="98" customWidth="1"/>
    <col min="11036" max="11036" width="7.5" style="98" customWidth="1"/>
    <col min="11037" max="11276" width="21" style="98"/>
    <col min="11277" max="11277" width="2.6640625" style="98" customWidth="1"/>
    <col min="11278" max="11278" width="31" style="98" customWidth="1"/>
    <col min="11279" max="11279" width="11.1640625" style="98" customWidth="1"/>
    <col min="11280" max="11280" width="11" style="98" bestFit="1" customWidth="1"/>
    <col min="11281" max="11290" width="10" style="98" customWidth="1"/>
    <col min="11291" max="11291" width="44.6640625" style="98" customWidth="1"/>
    <col min="11292" max="11292" width="7.5" style="98" customWidth="1"/>
    <col min="11293" max="11532" width="21" style="98"/>
    <col min="11533" max="11533" width="2.6640625" style="98" customWidth="1"/>
    <col min="11534" max="11534" width="31" style="98" customWidth="1"/>
    <col min="11535" max="11535" width="11.1640625" style="98" customWidth="1"/>
    <col min="11536" max="11536" width="11" style="98" bestFit="1" customWidth="1"/>
    <col min="11537" max="11546" width="10" style="98" customWidth="1"/>
    <col min="11547" max="11547" width="44.6640625" style="98" customWidth="1"/>
    <col min="11548" max="11548" width="7.5" style="98" customWidth="1"/>
    <col min="11549" max="11788" width="21" style="98"/>
    <col min="11789" max="11789" width="2.6640625" style="98" customWidth="1"/>
    <col min="11790" max="11790" width="31" style="98" customWidth="1"/>
    <col min="11791" max="11791" width="11.1640625" style="98" customWidth="1"/>
    <col min="11792" max="11792" width="11" style="98" bestFit="1" customWidth="1"/>
    <col min="11793" max="11802" width="10" style="98" customWidth="1"/>
    <col min="11803" max="11803" width="44.6640625" style="98" customWidth="1"/>
    <col min="11804" max="11804" width="7.5" style="98" customWidth="1"/>
    <col min="11805" max="12044" width="21" style="98"/>
    <col min="12045" max="12045" width="2.6640625" style="98" customWidth="1"/>
    <col min="12046" max="12046" width="31" style="98" customWidth="1"/>
    <col min="12047" max="12047" width="11.1640625" style="98" customWidth="1"/>
    <col min="12048" max="12048" width="11" style="98" bestFit="1" customWidth="1"/>
    <col min="12049" max="12058" width="10" style="98" customWidth="1"/>
    <col min="12059" max="12059" width="44.6640625" style="98" customWidth="1"/>
    <col min="12060" max="12060" width="7.5" style="98" customWidth="1"/>
    <col min="12061" max="12300" width="21" style="98"/>
    <col min="12301" max="12301" width="2.6640625" style="98" customWidth="1"/>
    <col min="12302" max="12302" width="31" style="98" customWidth="1"/>
    <col min="12303" max="12303" width="11.1640625" style="98" customWidth="1"/>
    <col min="12304" max="12304" width="11" style="98" bestFit="1" customWidth="1"/>
    <col min="12305" max="12314" width="10" style="98" customWidth="1"/>
    <col min="12315" max="12315" width="44.6640625" style="98" customWidth="1"/>
    <col min="12316" max="12316" width="7.5" style="98" customWidth="1"/>
    <col min="12317" max="12556" width="21" style="98"/>
    <col min="12557" max="12557" width="2.6640625" style="98" customWidth="1"/>
    <col min="12558" max="12558" width="31" style="98" customWidth="1"/>
    <col min="12559" max="12559" width="11.1640625" style="98" customWidth="1"/>
    <col min="12560" max="12560" width="11" style="98" bestFit="1" customWidth="1"/>
    <col min="12561" max="12570" width="10" style="98" customWidth="1"/>
    <col min="12571" max="12571" width="44.6640625" style="98" customWidth="1"/>
    <col min="12572" max="12572" width="7.5" style="98" customWidth="1"/>
    <col min="12573" max="12812" width="21" style="98"/>
    <col min="12813" max="12813" width="2.6640625" style="98" customWidth="1"/>
    <col min="12814" max="12814" width="31" style="98" customWidth="1"/>
    <col min="12815" max="12815" width="11.1640625" style="98" customWidth="1"/>
    <col min="12816" max="12816" width="11" style="98" bestFit="1" customWidth="1"/>
    <col min="12817" max="12826" width="10" style="98" customWidth="1"/>
    <col min="12827" max="12827" width="44.6640625" style="98" customWidth="1"/>
    <col min="12828" max="12828" width="7.5" style="98" customWidth="1"/>
    <col min="12829" max="13068" width="21" style="98"/>
    <col min="13069" max="13069" width="2.6640625" style="98" customWidth="1"/>
    <col min="13070" max="13070" width="31" style="98" customWidth="1"/>
    <col min="13071" max="13071" width="11.1640625" style="98" customWidth="1"/>
    <col min="13072" max="13072" width="11" style="98" bestFit="1" customWidth="1"/>
    <col min="13073" max="13082" width="10" style="98" customWidth="1"/>
    <col min="13083" max="13083" width="44.6640625" style="98" customWidth="1"/>
    <col min="13084" max="13084" width="7.5" style="98" customWidth="1"/>
    <col min="13085" max="13324" width="21" style="98"/>
    <col min="13325" max="13325" width="2.6640625" style="98" customWidth="1"/>
    <col min="13326" max="13326" width="31" style="98" customWidth="1"/>
    <col min="13327" max="13327" width="11.1640625" style="98" customWidth="1"/>
    <col min="13328" max="13328" width="11" style="98" bestFit="1" customWidth="1"/>
    <col min="13329" max="13338" width="10" style="98" customWidth="1"/>
    <col min="13339" max="13339" width="44.6640625" style="98" customWidth="1"/>
    <col min="13340" max="13340" width="7.5" style="98" customWidth="1"/>
    <col min="13341" max="13580" width="21" style="98"/>
    <col min="13581" max="13581" width="2.6640625" style="98" customWidth="1"/>
    <col min="13582" max="13582" width="31" style="98" customWidth="1"/>
    <col min="13583" max="13583" width="11.1640625" style="98" customWidth="1"/>
    <col min="13584" max="13584" width="11" style="98" bestFit="1" customWidth="1"/>
    <col min="13585" max="13594" width="10" style="98" customWidth="1"/>
    <col min="13595" max="13595" width="44.6640625" style="98" customWidth="1"/>
    <col min="13596" max="13596" width="7.5" style="98" customWidth="1"/>
    <col min="13597" max="13836" width="21" style="98"/>
    <col min="13837" max="13837" width="2.6640625" style="98" customWidth="1"/>
    <col min="13838" max="13838" width="31" style="98" customWidth="1"/>
    <col min="13839" max="13839" width="11.1640625" style="98" customWidth="1"/>
    <col min="13840" max="13840" width="11" style="98" bestFit="1" customWidth="1"/>
    <col min="13841" max="13850" width="10" style="98" customWidth="1"/>
    <col min="13851" max="13851" width="44.6640625" style="98" customWidth="1"/>
    <col min="13852" max="13852" width="7.5" style="98" customWidth="1"/>
    <col min="13853" max="14092" width="21" style="98"/>
    <col min="14093" max="14093" width="2.6640625" style="98" customWidth="1"/>
    <col min="14094" max="14094" width="31" style="98" customWidth="1"/>
    <col min="14095" max="14095" width="11.1640625" style="98" customWidth="1"/>
    <col min="14096" max="14096" width="11" style="98" bestFit="1" customWidth="1"/>
    <col min="14097" max="14106" width="10" style="98" customWidth="1"/>
    <col min="14107" max="14107" width="44.6640625" style="98" customWidth="1"/>
    <col min="14108" max="14108" width="7.5" style="98" customWidth="1"/>
    <col min="14109" max="14348" width="21" style="98"/>
    <col min="14349" max="14349" width="2.6640625" style="98" customWidth="1"/>
    <col min="14350" max="14350" width="31" style="98" customWidth="1"/>
    <col min="14351" max="14351" width="11.1640625" style="98" customWidth="1"/>
    <col min="14352" max="14352" width="11" style="98" bestFit="1" customWidth="1"/>
    <col min="14353" max="14362" width="10" style="98" customWidth="1"/>
    <col min="14363" max="14363" width="44.6640625" style="98" customWidth="1"/>
    <col min="14364" max="14364" width="7.5" style="98" customWidth="1"/>
    <col min="14365" max="14604" width="21" style="98"/>
    <col min="14605" max="14605" width="2.6640625" style="98" customWidth="1"/>
    <col min="14606" max="14606" width="31" style="98" customWidth="1"/>
    <col min="14607" max="14607" width="11.1640625" style="98" customWidth="1"/>
    <col min="14608" max="14608" width="11" style="98" bestFit="1" customWidth="1"/>
    <col min="14609" max="14618" width="10" style="98" customWidth="1"/>
    <col min="14619" max="14619" width="44.6640625" style="98" customWidth="1"/>
    <col min="14620" max="14620" width="7.5" style="98" customWidth="1"/>
    <col min="14621" max="14860" width="21" style="98"/>
    <col min="14861" max="14861" width="2.6640625" style="98" customWidth="1"/>
    <col min="14862" max="14862" width="31" style="98" customWidth="1"/>
    <col min="14863" max="14863" width="11.1640625" style="98" customWidth="1"/>
    <col min="14864" max="14864" width="11" style="98" bestFit="1" customWidth="1"/>
    <col min="14865" max="14874" width="10" style="98" customWidth="1"/>
    <col min="14875" max="14875" width="44.6640625" style="98" customWidth="1"/>
    <col min="14876" max="14876" width="7.5" style="98" customWidth="1"/>
    <col min="14877" max="15116" width="21" style="98"/>
    <col min="15117" max="15117" width="2.6640625" style="98" customWidth="1"/>
    <col min="15118" max="15118" width="31" style="98" customWidth="1"/>
    <col min="15119" max="15119" width="11.1640625" style="98" customWidth="1"/>
    <col min="15120" max="15120" width="11" style="98" bestFit="1" customWidth="1"/>
    <col min="15121" max="15130" width="10" style="98" customWidth="1"/>
    <col min="15131" max="15131" width="44.6640625" style="98" customWidth="1"/>
    <col min="15132" max="15132" width="7.5" style="98" customWidth="1"/>
    <col min="15133" max="15372" width="21" style="98"/>
    <col min="15373" max="15373" width="2.6640625" style="98" customWidth="1"/>
    <col min="15374" max="15374" width="31" style="98" customWidth="1"/>
    <col min="15375" max="15375" width="11.1640625" style="98" customWidth="1"/>
    <col min="15376" max="15376" width="11" style="98" bestFit="1" customWidth="1"/>
    <col min="15377" max="15386" width="10" style="98" customWidth="1"/>
    <col min="15387" max="15387" width="44.6640625" style="98" customWidth="1"/>
    <col min="15388" max="15388" width="7.5" style="98" customWidth="1"/>
    <col min="15389" max="15628" width="21" style="98"/>
    <col min="15629" max="15629" width="2.6640625" style="98" customWidth="1"/>
    <col min="15630" max="15630" width="31" style="98" customWidth="1"/>
    <col min="15631" max="15631" width="11.1640625" style="98" customWidth="1"/>
    <col min="15632" max="15632" width="11" style="98" bestFit="1" customWidth="1"/>
    <col min="15633" max="15642" width="10" style="98" customWidth="1"/>
    <col min="15643" max="15643" width="44.6640625" style="98" customWidth="1"/>
    <col min="15644" max="15644" width="7.5" style="98" customWidth="1"/>
    <col min="15645" max="15884" width="21" style="98"/>
    <col min="15885" max="15885" width="2.6640625" style="98" customWidth="1"/>
    <col min="15886" max="15886" width="31" style="98" customWidth="1"/>
    <col min="15887" max="15887" width="11.1640625" style="98" customWidth="1"/>
    <col min="15888" max="15888" width="11" style="98" bestFit="1" customWidth="1"/>
    <col min="15889" max="15898" width="10" style="98" customWidth="1"/>
    <col min="15899" max="15899" width="44.6640625" style="98" customWidth="1"/>
    <col min="15900" max="15900" width="7.5" style="98" customWidth="1"/>
    <col min="15901" max="16140" width="21" style="98"/>
    <col min="16141" max="16141" width="2.6640625" style="98" customWidth="1"/>
    <col min="16142" max="16142" width="31" style="98" customWidth="1"/>
    <col min="16143" max="16143" width="11.1640625" style="98" customWidth="1"/>
    <col min="16144" max="16144" width="11" style="98" bestFit="1" customWidth="1"/>
    <col min="16145" max="16154" width="10" style="98" customWidth="1"/>
    <col min="16155" max="16155" width="44.6640625" style="98" customWidth="1"/>
    <col min="16156" max="16156" width="7.5" style="98" customWidth="1"/>
    <col min="16157" max="16384" width="21" style="98"/>
  </cols>
  <sheetData>
    <row r="1" spans="1:67" s="146" customFormat="1" ht="27" customHeight="1" thickBot="1">
      <c r="A1" s="101"/>
      <c r="B1" s="98"/>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795"/>
      <c r="AC1" s="795"/>
    </row>
    <row r="2" spans="1:67" s="111" customFormat="1" ht="39.75" customHeight="1">
      <c r="A2" s="2856" t="s">
        <v>344</v>
      </c>
      <c r="B2" s="2857"/>
      <c r="C2" s="796" t="s">
        <v>1161</v>
      </c>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row>
    <row r="3" spans="1:67" s="1411" customFormat="1" ht="27" customHeight="1">
      <c r="A3" s="2863" t="s">
        <v>826</v>
      </c>
      <c r="B3" s="2864"/>
      <c r="C3" s="1548" t="s">
        <v>1318</v>
      </c>
      <c r="D3" s="1410" t="s">
        <v>1319</v>
      </c>
      <c r="E3" s="1410" t="s">
        <v>1144</v>
      </c>
      <c r="F3" s="1410" t="s">
        <v>1144</v>
      </c>
      <c r="G3" s="1410" t="s">
        <v>1144</v>
      </c>
      <c r="H3" s="1410" t="s">
        <v>1144</v>
      </c>
      <c r="I3" s="1410" t="s">
        <v>1144</v>
      </c>
      <c r="J3" s="1410" t="s">
        <v>1144</v>
      </c>
      <c r="K3" s="1410" t="s">
        <v>1144</v>
      </c>
      <c r="L3" s="1410" t="s">
        <v>1144</v>
      </c>
      <c r="M3" s="1410" t="s">
        <v>1144</v>
      </c>
      <c r="N3" s="1410" t="s">
        <v>1144</v>
      </c>
      <c r="O3" s="1410" t="s">
        <v>1144</v>
      </c>
      <c r="P3" s="1410" t="s">
        <v>1144</v>
      </c>
      <c r="Q3" s="1410" t="s">
        <v>1144</v>
      </c>
      <c r="R3" s="1410" t="s">
        <v>1144</v>
      </c>
      <c r="S3" s="1410" t="s">
        <v>1144</v>
      </c>
      <c r="T3" s="1410" t="s">
        <v>1144</v>
      </c>
      <c r="U3" s="1410" t="s">
        <v>1144</v>
      </c>
      <c r="V3" s="1410" t="s">
        <v>1144</v>
      </c>
      <c r="W3" s="1410" t="s">
        <v>1144</v>
      </c>
      <c r="X3" s="1410" t="s">
        <v>1144</v>
      </c>
      <c r="Y3" s="1410" t="s">
        <v>1144</v>
      </c>
      <c r="Z3" s="1410" t="s">
        <v>1144</v>
      </c>
      <c r="AA3" s="1410" t="s">
        <v>1144</v>
      </c>
      <c r="AB3" s="1410" t="s">
        <v>833</v>
      </c>
      <c r="AC3" s="1410" t="s">
        <v>833</v>
      </c>
    </row>
    <row r="4" spans="1:67" ht="51" customHeight="1">
      <c r="A4" s="2820" t="s">
        <v>1121</v>
      </c>
      <c r="B4" s="2821"/>
      <c r="C4" s="2259"/>
      <c r="D4" s="1500"/>
      <c r="E4" s="2260" t="s">
        <v>361</v>
      </c>
      <c r="F4" s="2260"/>
      <c r="G4" s="2260"/>
      <c r="H4" s="2260"/>
      <c r="I4" s="2261"/>
      <c r="J4" s="2262"/>
      <c r="K4" s="2260"/>
      <c r="L4" s="2260"/>
      <c r="M4" s="2260"/>
      <c r="N4" s="2260"/>
      <c r="O4" s="2260"/>
      <c r="P4" s="2260"/>
      <c r="Q4" s="1415"/>
      <c r="R4" s="1415"/>
      <c r="S4" s="1415"/>
      <c r="T4" s="1415"/>
      <c r="U4" s="1415"/>
      <c r="V4" s="1415"/>
      <c r="W4" s="1415"/>
      <c r="X4" s="1415"/>
      <c r="Y4" s="1415"/>
      <c r="Z4" s="1501"/>
      <c r="AA4" s="1415"/>
      <c r="AB4" s="1415"/>
      <c r="AC4" s="1415"/>
      <c r="AD4" s="1411" t="s">
        <v>867</v>
      </c>
      <c r="AF4" s="1187" t="s">
        <v>1206</v>
      </c>
      <c r="AG4" s="1184" t="s">
        <v>1187</v>
      </c>
      <c r="AH4" s="1184">
        <f>budgetår</f>
        <v>2024</v>
      </c>
    </row>
    <row r="5" spans="1:67" ht="24" customHeight="1">
      <c r="A5" s="2818" t="s">
        <v>834</v>
      </c>
      <c r="B5" s="2819"/>
      <c r="C5" s="1502"/>
      <c r="D5" s="1502"/>
      <c r="E5" s="1503"/>
      <c r="F5" s="1503"/>
      <c r="G5" s="1503"/>
      <c r="H5" s="1503"/>
      <c r="I5" s="1503"/>
      <c r="J5" s="1503"/>
      <c r="K5" s="1503"/>
      <c r="L5" s="1503"/>
      <c r="M5" s="1503"/>
      <c r="N5" s="1503"/>
      <c r="O5" s="1503"/>
      <c r="P5" s="1503"/>
      <c r="Q5" s="1503"/>
      <c r="R5" s="1503"/>
      <c r="S5" s="1503"/>
      <c r="T5" s="1503"/>
      <c r="U5" s="1503"/>
      <c r="V5" s="1503"/>
      <c r="W5" s="1503"/>
      <c r="X5" s="1503"/>
      <c r="Y5" s="1503"/>
      <c r="Z5" s="1504"/>
      <c r="AA5" s="1503"/>
      <c r="AB5" s="1415"/>
      <c r="AC5" s="1415"/>
      <c r="AD5" s="1412">
        <v>353412</v>
      </c>
      <c r="AE5" s="801"/>
      <c r="AF5" s="1185" t="s">
        <v>1188</v>
      </c>
      <c r="AG5" s="1202"/>
      <c r="AH5" s="1199">
        <f>C118</f>
        <v>0</v>
      </c>
    </row>
    <row r="6" spans="1:67" ht="24" customHeight="1">
      <c r="A6" s="2818" t="str">
        <f>"Antal måneder ansat januar til og med marts"&amp; budgetår&amp;" (Hvis alle skriv 3)"</f>
        <v>Antal måneder ansat januar til og med marts2024 (Hvis alle skriv 3)</v>
      </c>
      <c r="B6" s="2819"/>
      <c r="C6" s="1505"/>
      <c r="D6" s="1505"/>
      <c r="E6" s="1505">
        <v>3</v>
      </c>
      <c r="F6" s="1505"/>
      <c r="G6" s="1505"/>
      <c r="H6" s="1505"/>
      <c r="I6" s="1505"/>
      <c r="J6" s="1505"/>
      <c r="K6" s="1505"/>
      <c r="L6" s="1505"/>
      <c r="M6" s="1505"/>
      <c r="N6" s="1505"/>
      <c r="O6" s="1505"/>
      <c r="P6" s="1505"/>
      <c r="Q6" s="1505"/>
      <c r="R6" s="1505"/>
      <c r="S6" s="1505"/>
      <c r="T6" s="1505"/>
      <c r="U6" s="1505"/>
      <c r="V6" s="1505"/>
      <c r="W6" s="1505"/>
      <c r="X6" s="1505"/>
      <c r="Y6" s="1505"/>
      <c r="Z6" s="1506"/>
      <c r="AA6" s="1505"/>
      <c r="AB6" s="1505"/>
      <c r="AC6" s="1505"/>
      <c r="AD6" s="1412">
        <v>396929</v>
      </c>
      <c r="AE6" s="801"/>
      <c r="AF6" s="1186" t="s">
        <v>1189</v>
      </c>
      <c r="AG6" s="1202"/>
      <c r="AH6" s="1199">
        <f>D118</f>
        <v>0</v>
      </c>
    </row>
    <row r="7" spans="1:67" ht="24" customHeight="1">
      <c r="A7" s="1413" t="str">
        <f>"Antal måneder ansat april til og med juli "&amp;budgetår&amp;" (Hvis alle skriv 4)"</f>
        <v>Antal måneder ansat april til og med juli 2024 (Hvis alle skriv 4)</v>
      </c>
      <c r="B7" s="1414"/>
      <c r="C7" s="1507"/>
      <c r="D7" s="1507"/>
      <c r="E7" s="1507">
        <v>4</v>
      </c>
      <c r="F7" s="1507"/>
      <c r="G7" s="1507"/>
      <c r="H7" s="1507"/>
      <c r="I7" s="1507"/>
      <c r="J7" s="1507"/>
      <c r="K7" s="1507"/>
      <c r="L7" s="1507"/>
      <c r="M7" s="1507"/>
      <c r="N7" s="1507"/>
      <c r="O7" s="1507"/>
      <c r="P7" s="1507"/>
      <c r="Q7" s="1507"/>
      <c r="R7" s="1507"/>
      <c r="S7" s="1507"/>
      <c r="T7" s="1507"/>
      <c r="U7" s="1507"/>
      <c r="V7" s="1507"/>
      <c r="W7" s="1507"/>
      <c r="X7" s="1507"/>
      <c r="Y7" s="1507"/>
      <c r="Z7" s="1506"/>
      <c r="AA7" s="1507"/>
      <c r="AB7" s="1507"/>
      <c r="AC7" s="1507"/>
      <c r="AD7" s="1412"/>
      <c r="AE7" s="801"/>
      <c r="AF7" s="1271"/>
      <c r="AG7" s="1259"/>
      <c r="AH7" s="1272"/>
    </row>
    <row r="8" spans="1:67" ht="24" customHeight="1">
      <c r="A8" s="2818" t="str">
        <f>"Ansat antal måneder august til december "&amp;budgetår&amp;" (Hvis alle skriv 5)"</f>
        <v>Ansat antal måneder august til december 2024 (Hvis alle skriv 5)</v>
      </c>
      <c r="B8" s="2819"/>
      <c r="C8" s="1505"/>
      <c r="D8" s="1505"/>
      <c r="E8" s="1505">
        <v>5</v>
      </c>
      <c r="F8" s="1505"/>
      <c r="G8" s="1505"/>
      <c r="H8" s="1505"/>
      <c r="I8" s="1505"/>
      <c r="J8" s="1505"/>
      <c r="K8" s="1505"/>
      <c r="L8" s="1505"/>
      <c r="M8" s="1505"/>
      <c r="N8" s="1505"/>
      <c r="O8" s="1505"/>
      <c r="P8" s="1505"/>
      <c r="Q8" s="1505"/>
      <c r="R8" s="1505"/>
      <c r="S8" s="1505"/>
      <c r="T8" s="1505"/>
      <c r="U8" s="1505"/>
      <c r="V8" s="1505"/>
      <c r="W8" s="1505"/>
      <c r="X8" s="1505"/>
      <c r="Y8" s="1505"/>
      <c r="Z8" s="1506"/>
      <c r="AA8" s="1505"/>
      <c r="AB8" s="1505"/>
      <c r="AC8" s="1505"/>
      <c r="AD8" s="1411"/>
      <c r="AE8" s="801"/>
      <c r="AF8" s="1186" t="s">
        <v>1190</v>
      </c>
      <c r="AG8" s="1202"/>
      <c r="AH8" s="1199">
        <f>C135+D135</f>
        <v>0</v>
      </c>
    </row>
    <row r="9" spans="1:67" ht="25" customHeight="1">
      <c r="A9" s="2818" t="s">
        <v>343</v>
      </c>
      <c r="B9" s="2819"/>
      <c r="C9" s="1508">
        <f t="shared" ref="C9:AC9" si="0">+C8+C6+C7</f>
        <v>0</v>
      </c>
      <c r="D9" s="1508">
        <f t="shared" si="0"/>
        <v>0</v>
      </c>
      <c r="E9" s="1508">
        <f t="shared" si="0"/>
        <v>12</v>
      </c>
      <c r="F9" s="1508">
        <f t="shared" si="0"/>
        <v>0</v>
      </c>
      <c r="G9" s="1508">
        <f t="shared" si="0"/>
        <v>0</v>
      </c>
      <c r="H9" s="1508">
        <f t="shared" si="0"/>
        <v>0</v>
      </c>
      <c r="I9" s="1508">
        <f t="shared" si="0"/>
        <v>0</v>
      </c>
      <c r="J9" s="1508">
        <f t="shared" si="0"/>
        <v>0</v>
      </c>
      <c r="K9" s="1508">
        <f t="shared" si="0"/>
        <v>0</v>
      </c>
      <c r="L9" s="1508">
        <f t="shared" si="0"/>
        <v>0</v>
      </c>
      <c r="M9" s="1508">
        <f t="shared" si="0"/>
        <v>0</v>
      </c>
      <c r="N9" s="1508">
        <f t="shared" si="0"/>
        <v>0</v>
      </c>
      <c r="O9" s="1508">
        <f t="shared" si="0"/>
        <v>0</v>
      </c>
      <c r="P9" s="1508">
        <f t="shared" si="0"/>
        <v>0</v>
      </c>
      <c r="Q9" s="1508">
        <f t="shared" si="0"/>
        <v>0</v>
      </c>
      <c r="R9" s="1508">
        <f t="shared" si="0"/>
        <v>0</v>
      </c>
      <c r="S9" s="1508">
        <f t="shared" si="0"/>
        <v>0</v>
      </c>
      <c r="T9" s="1508">
        <f t="shared" si="0"/>
        <v>0</v>
      </c>
      <c r="U9" s="1508">
        <f t="shared" si="0"/>
        <v>0</v>
      </c>
      <c r="V9" s="1508">
        <f t="shared" si="0"/>
        <v>0</v>
      </c>
      <c r="W9" s="1508">
        <f t="shared" si="0"/>
        <v>0</v>
      </c>
      <c r="X9" s="1508">
        <f t="shared" si="0"/>
        <v>0</v>
      </c>
      <c r="Y9" s="1508">
        <f t="shared" si="0"/>
        <v>0</v>
      </c>
      <c r="Z9" s="1508">
        <f t="shared" si="0"/>
        <v>0</v>
      </c>
      <c r="AA9" s="1508">
        <f t="shared" si="0"/>
        <v>0</v>
      </c>
      <c r="AB9" s="1508">
        <f t="shared" si="0"/>
        <v>0</v>
      </c>
      <c r="AC9" s="1508">
        <f t="shared" si="0"/>
        <v>0</v>
      </c>
      <c r="AD9" s="1411"/>
      <c r="AE9" s="801"/>
      <c r="AF9" s="1186" t="s">
        <v>1191</v>
      </c>
      <c r="AG9" s="1202"/>
      <c r="AH9" s="1199">
        <f>C138+D138</f>
        <v>0</v>
      </c>
    </row>
    <row r="10" spans="1:67" ht="25" customHeight="1">
      <c r="A10" s="2818" t="str">
        <f>"Antal måneder ansat i "&amp;budgetår+1&amp;""</f>
        <v>Antal måneder ansat i 2025</v>
      </c>
      <c r="B10" s="2819"/>
      <c r="C10" s="1509"/>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10"/>
      <c r="AA10" s="1509"/>
      <c r="AB10" s="1509"/>
      <c r="AC10" s="1509"/>
      <c r="AD10" s="1411"/>
      <c r="AE10" s="801" t="s">
        <v>828</v>
      </c>
      <c r="AF10" s="1186" t="s">
        <v>1192</v>
      </c>
      <c r="AG10" s="1202"/>
      <c r="AH10" s="1199">
        <f>C146+D146</f>
        <v>0</v>
      </c>
    </row>
    <row r="11" spans="1:67" ht="27" customHeight="1">
      <c r="A11" s="2820" t="s">
        <v>1339</v>
      </c>
      <c r="B11" s="2821"/>
      <c r="C11" s="1415" t="s">
        <v>828</v>
      </c>
      <c r="D11" s="1415" t="s">
        <v>828</v>
      </c>
      <c r="E11" s="1415" t="s">
        <v>828</v>
      </c>
      <c r="F11" s="1415" t="s">
        <v>828</v>
      </c>
      <c r="G11" s="1415" t="s">
        <v>828</v>
      </c>
      <c r="H11" s="1415" t="s">
        <v>828</v>
      </c>
      <c r="I11" s="1415" t="s">
        <v>828</v>
      </c>
      <c r="J11" s="1415" t="s">
        <v>828</v>
      </c>
      <c r="K11" s="1415" t="s">
        <v>828</v>
      </c>
      <c r="L11" s="1415" t="s">
        <v>828</v>
      </c>
      <c r="M11" s="1415" t="s">
        <v>828</v>
      </c>
      <c r="N11" s="1415" t="s">
        <v>828</v>
      </c>
      <c r="O11" s="1415" t="s">
        <v>828</v>
      </c>
      <c r="P11" s="1415" t="s">
        <v>828</v>
      </c>
      <c r="Q11" s="1415" t="s">
        <v>828</v>
      </c>
      <c r="R11" s="1415" t="s">
        <v>828</v>
      </c>
      <c r="S11" s="1415" t="s">
        <v>828</v>
      </c>
      <c r="T11" s="1415" t="s">
        <v>828</v>
      </c>
      <c r="U11" s="1415" t="s">
        <v>828</v>
      </c>
      <c r="V11" s="1415" t="s">
        <v>828</v>
      </c>
      <c r="W11" s="1415" t="s">
        <v>828</v>
      </c>
      <c r="X11" s="1415" t="s">
        <v>828</v>
      </c>
      <c r="Y11" s="1415" t="s">
        <v>828</v>
      </c>
      <c r="Z11" s="1501" t="s">
        <v>828</v>
      </c>
      <c r="AA11" s="1415" t="s">
        <v>828</v>
      </c>
      <c r="AB11" s="1415" t="s">
        <v>828</v>
      </c>
      <c r="AC11" s="1415" t="s">
        <v>828</v>
      </c>
      <c r="AD11" s="1411"/>
      <c r="AE11" s="801" t="s">
        <v>827</v>
      </c>
      <c r="AF11" s="1186" t="s">
        <v>1193</v>
      </c>
      <c r="AG11" s="1202"/>
      <c r="AH11" s="1199">
        <f>D141+C141</f>
        <v>0</v>
      </c>
    </row>
    <row r="12" spans="1:67" ht="27" customHeight="1">
      <c r="A12" s="2814" t="s">
        <v>1409</v>
      </c>
      <c r="B12" s="2815"/>
      <c r="C12" s="1416" t="s">
        <v>828</v>
      </c>
      <c r="D12" s="1416" t="s">
        <v>828</v>
      </c>
      <c r="E12" s="1416" t="s">
        <v>828</v>
      </c>
      <c r="F12" s="1416" t="s">
        <v>828</v>
      </c>
      <c r="G12" s="1416" t="s">
        <v>828</v>
      </c>
      <c r="H12" s="1416" t="s">
        <v>828</v>
      </c>
      <c r="I12" s="1416" t="s">
        <v>828</v>
      </c>
      <c r="J12" s="1416" t="s">
        <v>828</v>
      </c>
      <c r="K12" s="1416" t="s">
        <v>828</v>
      </c>
      <c r="L12" s="1416" t="s">
        <v>828</v>
      </c>
      <c r="M12" s="1416" t="s">
        <v>828</v>
      </c>
      <c r="N12" s="1416" t="s">
        <v>828</v>
      </c>
      <c r="O12" s="1416" t="s">
        <v>828</v>
      </c>
      <c r="P12" s="1416" t="s">
        <v>828</v>
      </c>
      <c r="Q12" s="1416" t="s">
        <v>828</v>
      </c>
      <c r="R12" s="1416" t="s">
        <v>828</v>
      </c>
      <c r="S12" s="1416" t="s">
        <v>828</v>
      </c>
      <c r="T12" s="1416" t="s">
        <v>828</v>
      </c>
      <c r="U12" s="1416" t="s">
        <v>828</v>
      </c>
      <c r="V12" s="1416" t="s">
        <v>828</v>
      </c>
      <c r="W12" s="1416" t="s">
        <v>828</v>
      </c>
      <c r="X12" s="1416" t="s">
        <v>828</v>
      </c>
      <c r="Y12" s="1416" t="s">
        <v>828</v>
      </c>
      <c r="Z12" s="1416" t="s">
        <v>828</v>
      </c>
      <c r="AA12" s="1416" t="s">
        <v>828</v>
      </c>
      <c r="AB12" s="1511" t="s">
        <v>828</v>
      </c>
      <c r="AC12" s="1511" t="s">
        <v>828</v>
      </c>
      <c r="AD12" s="1411"/>
      <c r="AE12" s="801"/>
      <c r="AF12" s="1408"/>
      <c r="AG12" s="1406"/>
      <c r="AH12" s="1409"/>
    </row>
    <row r="13" spans="1:67" ht="27" customHeight="1">
      <c r="A13" s="2818" t="str">
        <f>"SENIORBONUS. Er den ansatte eller fylder den ansatte 62 år i "&amp;budgetår&amp;" (Vælg: Ja)"</f>
        <v>SENIORBONUS. Er den ansatte eller fylder den ansatte 62 år i 2024 (Vælg: Ja)</v>
      </c>
      <c r="B13" s="2819"/>
      <c r="C13" s="1416" t="s">
        <v>828</v>
      </c>
      <c r="D13" s="1416" t="s">
        <v>828</v>
      </c>
      <c r="E13" s="1416" t="s">
        <v>828</v>
      </c>
      <c r="F13" s="1416" t="s">
        <v>828</v>
      </c>
      <c r="G13" s="1416" t="s">
        <v>828</v>
      </c>
      <c r="H13" s="1416" t="s">
        <v>828</v>
      </c>
      <c r="I13" s="1416" t="s">
        <v>828</v>
      </c>
      <c r="J13" s="1416" t="s">
        <v>828</v>
      </c>
      <c r="K13" s="1416" t="s">
        <v>828</v>
      </c>
      <c r="L13" s="1416" t="s">
        <v>828</v>
      </c>
      <c r="M13" s="1416" t="s">
        <v>828</v>
      </c>
      <c r="N13" s="1416" t="s">
        <v>828</v>
      </c>
      <c r="O13" s="1416" t="s">
        <v>828</v>
      </c>
      <c r="P13" s="1416" t="s">
        <v>828</v>
      </c>
      <c r="Q13" s="1416" t="s">
        <v>828</v>
      </c>
      <c r="R13" s="1416" t="s">
        <v>828</v>
      </c>
      <c r="S13" s="1416" t="s">
        <v>828</v>
      </c>
      <c r="T13" s="1416" t="s">
        <v>828</v>
      </c>
      <c r="U13" s="1416" t="s">
        <v>828</v>
      </c>
      <c r="V13" s="1416" t="s">
        <v>828</v>
      </c>
      <c r="W13" s="1416" t="s">
        <v>828</v>
      </c>
      <c r="X13" s="1416" t="s">
        <v>828</v>
      </c>
      <c r="Y13" s="1416" t="s">
        <v>828</v>
      </c>
      <c r="Z13" s="1416" t="s">
        <v>828</v>
      </c>
      <c r="AA13" s="1416" t="s">
        <v>828</v>
      </c>
      <c r="AB13" s="2415"/>
      <c r="AC13" s="2415"/>
      <c r="AD13" s="1411"/>
      <c r="AE13" s="801"/>
      <c r="AF13" s="2350"/>
      <c r="AG13" s="2351"/>
      <c r="AH13" s="2352"/>
    </row>
    <row r="14" spans="1:67" ht="27" customHeight="1">
      <c r="A14" s="2818" t="str">
        <f>"SENIORBONUS. Er den ansatte eller fylder den ansatte 62 år i "&amp;budgetår+1&amp;" (Vælg: Ja)"</f>
        <v>SENIORBONUS. Er den ansatte eller fylder den ansatte 62 år i 2025 (Vælg: Ja)</v>
      </c>
      <c r="B14" s="2819"/>
      <c r="C14" s="1416" t="s">
        <v>828</v>
      </c>
      <c r="D14" s="1416" t="s">
        <v>828</v>
      </c>
      <c r="E14" s="1416" t="s">
        <v>828</v>
      </c>
      <c r="F14" s="1416" t="s">
        <v>828</v>
      </c>
      <c r="G14" s="1416" t="s">
        <v>828</v>
      </c>
      <c r="H14" s="1416" t="s">
        <v>1331</v>
      </c>
      <c r="I14" s="1416" t="s">
        <v>828</v>
      </c>
      <c r="J14" s="1416" t="s">
        <v>828</v>
      </c>
      <c r="K14" s="1416" t="s">
        <v>828</v>
      </c>
      <c r="L14" s="1416" t="s">
        <v>828</v>
      </c>
      <c r="M14" s="1416" t="s">
        <v>828</v>
      </c>
      <c r="N14" s="1416" t="s">
        <v>828</v>
      </c>
      <c r="O14" s="1416" t="s">
        <v>828</v>
      </c>
      <c r="P14" s="1416" t="s">
        <v>828</v>
      </c>
      <c r="Q14" s="1416" t="s">
        <v>828</v>
      </c>
      <c r="R14" s="1416" t="s">
        <v>828</v>
      </c>
      <c r="S14" s="1416" t="s">
        <v>828</v>
      </c>
      <c r="T14" s="1416" t="s">
        <v>828</v>
      </c>
      <c r="U14" s="1416" t="s">
        <v>828</v>
      </c>
      <c r="V14" s="1416" t="s">
        <v>828</v>
      </c>
      <c r="W14" s="1416" t="s">
        <v>828</v>
      </c>
      <c r="X14" s="1416" t="s">
        <v>828</v>
      </c>
      <c r="Y14" s="1416" t="s">
        <v>828</v>
      </c>
      <c r="Z14" s="1416" t="s">
        <v>828</v>
      </c>
      <c r="AA14" s="1416" t="s">
        <v>828</v>
      </c>
      <c r="AB14" s="2416"/>
      <c r="AC14" s="2416"/>
      <c r="AD14" s="1411"/>
      <c r="AE14" s="801"/>
      <c r="AF14" s="2350"/>
      <c r="AG14" s="2351"/>
      <c r="AH14" s="2352"/>
    </row>
    <row r="15" spans="1:67" ht="25" customHeight="1">
      <c r="A15" s="2818" t="s">
        <v>1087</v>
      </c>
      <c r="B15" s="2819"/>
      <c r="C15" s="1512" t="s">
        <v>311</v>
      </c>
      <c r="D15" s="1512" t="s">
        <v>311</v>
      </c>
      <c r="E15" s="1415" t="s">
        <v>311</v>
      </c>
      <c r="F15" s="1415" t="s">
        <v>311</v>
      </c>
      <c r="G15" s="1415" t="s">
        <v>311</v>
      </c>
      <c r="H15" s="1415" t="s">
        <v>311</v>
      </c>
      <c r="I15" s="1415" t="s">
        <v>311</v>
      </c>
      <c r="J15" s="1415" t="s">
        <v>311</v>
      </c>
      <c r="K15" s="1415" t="s">
        <v>311</v>
      </c>
      <c r="L15" s="1415" t="s">
        <v>311</v>
      </c>
      <c r="M15" s="1415" t="s">
        <v>311</v>
      </c>
      <c r="N15" s="1415" t="s">
        <v>311</v>
      </c>
      <c r="O15" s="1415" t="s">
        <v>311</v>
      </c>
      <c r="P15" s="1415" t="s">
        <v>311</v>
      </c>
      <c r="Q15" s="1415" t="s">
        <v>311</v>
      </c>
      <c r="R15" s="1415" t="s">
        <v>311</v>
      </c>
      <c r="S15" s="1415" t="s">
        <v>311</v>
      </c>
      <c r="T15" s="1415" t="s">
        <v>311</v>
      </c>
      <c r="U15" s="1415" t="s">
        <v>311</v>
      </c>
      <c r="V15" s="1415" t="s">
        <v>311</v>
      </c>
      <c r="W15" s="1415" t="s">
        <v>311</v>
      </c>
      <c r="X15" s="1415" t="s">
        <v>311</v>
      </c>
      <c r="Y15" s="1415" t="s">
        <v>311</v>
      </c>
      <c r="Z15" s="1501" t="s">
        <v>311</v>
      </c>
      <c r="AA15" s="1415" t="s">
        <v>311</v>
      </c>
      <c r="AB15" s="1415" t="s">
        <v>311</v>
      </c>
      <c r="AC15" s="1415" t="s">
        <v>311</v>
      </c>
      <c r="AD15" s="1417" t="s">
        <v>313</v>
      </c>
      <c r="AE15" s="801" t="s">
        <v>829</v>
      </c>
      <c r="AF15" s="1188" t="s">
        <v>1207</v>
      </c>
      <c r="AG15" s="1183" t="s">
        <v>1187</v>
      </c>
      <c r="AH15" s="1183">
        <f>budgetår</f>
        <v>2024</v>
      </c>
      <c r="BO15" s="98" t="s">
        <v>312</v>
      </c>
    </row>
    <row r="16" spans="1:67" ht="25" customHeight="1">
      <c r="A16" s="2818" t="s">
        <v>1088</v>
      </c>
      <c r="B16" s="2819"/>
      <c r="C16" s="1513">
        <f>PrcAar</f>
        <v>1.2113608650000001</v>
      </c>
      <c r="D16" s="1513">
        <f t="shared" ref="D16:F17" si="1">$C16</f>
        <v>1.2113608650000001</v>
      </c>
      <c r="E16" s="1513">
        <f t="shared" si="1"/>
        <v>1.2113608650000001</v>
      </c>
      <c r="F16" s="1513">
        <f t="shared" si="1"/>
        <v>1.2113608650000001</v>
      </c>
      <c r="G16" s="1513">
        <f t="shared" ref="G16:AC17" si="2">$C16</f>
        <v>1.2113608650000001</v>
      </c>
      <c r="H16" s="1513">
        <f t="shared" si="2"/>
        <v>1.2113608650000001</v>
      </c>
      <c r="I16" s="1513">
        <f t="shared" si="2"/>
        <v>1.2113608650000001</v>
      </c>
      <c r="J16" s="1513">
        <f t="shared" si="2"/>
        <v>1.2113608650000001</v>
      </c>
      <c r="K16" s="1513">
        <f t="shared" si="2"/>
        <v>1.2113608650000001</v>
      </c>
      <c r="L16" s="1513">
        <f t="shared" si="2"/>
        <v>1.2113608650000001</v>
      </c>
      <c r="M16" s="1513">
        <f t="shared" si="2"/>
        <v>1.2113608650000001</v>
      </c>
      <c r="N16" s="1513">
        <f>$C16</f>
        <v>1.2113608650000001</v>
      </c>
      <c r="O16" s="1513">
        <f t="shared" si="2"/>
        <v>1.2113608650000001</v>
      </c>
      <c r="P16" s="1513">
        <f t="shared" si="2"/>
        <v>1.2113608650000001</v>
      </c>
      <c r="Q16" s="1513">
        <f t="shared" si="2"/>
        <v>1.2113608650000001</v>
      </c>
      <c r="R16" s="1513">
        <f t="shared" si="2"/>
        <v>1.2113608650000001</v>
      </c>
      <c r="S16" s="1513">
        <f t="shared" si="2"/>
        <v>1.2113608650000001</v>
      </c>
      <c r="T16" s="1513">
        <f t="shared" si="2"/>
        <v>1.2113608650000001</v>
      </c>
      <c r="U16" s="1513">
        <f t="shared" si="2"/>
        <v>1.2113608650000001</v>
      </c>
      <c r="V16" s="1513">
        <f t="shared" si="2"/>
        <v>1.2113608650000001</v>
      </c>
      <c r="W16" s="1513">
        <f t="shared" si="2"/>
        <v>1.2113608650000001</v>
      </c>
      <c r="X16" s="1513">
        <f t="shared" si="2"/>
        <v>1.2113608650000001</v>
      </c>
      <c r="Y16" s="1513">
        <f t="shared" si="2"/>
        <v>1.2113608650000001</v>
      </c>
      <c r="Z16" s="1513">
        <f t="shared" si="2"/>
        <v>1.2113608650000001</v>
      </c>
      <c r="AA16" s="1513">
        <f t="shared" si="2"/>
        <v>1.2113608650000001</v>
      </c>
      <c r="AB16" s="1513">
        <f t="shared" si="2"/>
        <v>1.2113608650000001</v>
      </c>
      <c r="AC16" s="1513">
        <f t="shared" si="2"/>
        <v>1.2113608650000001</v>
      </c>
      <c r="AD16" s="1418"/>
      <c r="AE16" s="801" t="s">
        <v>828</v>
      </c>
      <c r="AF16" s="1189" t="s">
        <v>1194</v>
      </c>
      <c r="AG16" s="1202"/>
      <c r="AH16" s="1189"/>
    </row>
    <row r="17" spans="1:34" ht="25" customHeight="1">
      <c r="A17" s="2818" t="s">
        <v>101</v>
      </c>
      <c r="B17" s="2819"/>
      <c r="C17" s="1514">
        <f>Forside!H12</f>
        <v>0</v>
      </c>
      <c r="D17" s="1514">
        <f t="shared" si="1"/>
        <v>0</v>
      </c>
      <c r="E17" s="1514">
        <f t="shared" si="1"/>
        <v>0</v>
      </c>
      <c r="F17" s="1514">
        <f t="shared" si="1"/>
        <v>0</v>
      </c>
      <c r="G17" s="1514">
        <f t="shared" si="2"/>
        <v>0</v>
      </c>
      <c r="H17" s="1514">
        <f t="shared" si="2"/>
        <v>0</v>
      </c>
      <c r="I17" s="1514">
        <f t="shared" si="2"/>
        <v>0</v>
      </c>
      <c r="J17" s="1514">
        <f t="shared" si="2"/>
        <v>0</v>
      </c>
      <c r="K17" s="1514">
        <f t="shared" si="2"/>
        <v>0</v>
      </c>
      <c r="L17" s="1514">
        <f t="shared" si="2"/>
        <v>0</v>
      </c>
      <c r="M17" s="1514">
        <f t="shared" si="2"/>
        <v>0</v>
      </c>
      <c r="N17" s="1514">
        <f>$C17</f>
        <v>0</v>
      </c>
      <c r="O17" s="1514">
        <f t="shared" si="2"/>
        <v>0</v>
      </c>
      <c r="P17" s="1514">
        <f t="shared" si="2"/>
        <v>0</v>
      </c>
      <c r="Q17" s="1514">
        <f t="shared" si="2"/>
        <v>0</v>
      </c>
      <c r="R17" s="1514">
        <f t="shared" si="2"/>
        <v>0</v>
      </c>
      <c r="S17" s="1514">
        <f t="shared" si="2"/>
        <v>0</v>
      </c>
      <c r="T17" s="1514">
        <f t="shared" si="2"/>
        <v>0</v>
      </c>
      <c r="U17" s="1514">
        <f t="shared" si="2"/>
        <v>0</v>
      </c>
      <c r="V17" s="1514">
        <f t="shared" si="2"/>
        <v>0</v>
      </c>
      <c r="W17" s="1514">
        <f t="shared" si="2"/>
        <v>0</v>
      </c>
      <c r="X17" s="1514">
        <f t="shared" si="2"/>
        <v>0</v>
      </c>
      <c r="Y17" s="1514">
        <f t="shared" si="2"/>
        <v>0</v>
      </c>
      <c r="Z17" s="1514">
        <f t="shared" si="2"/>
        <v>0</v>
      </c>
      <c r="AA17" s="1514">
        <f t="shared" si="2"/>
        <v>0</v>
      </c>
      <c r="AB17" s="1514">
        <f t="shared" si="2"/>
        <v>0</v>
      </c>
      <c r="AC17" s="1514">
        <f t="shared" si="2"/>
        <v>0</v>
      </c>
      <c r="AD17" s="1411" t="s">
        <v>314</v>
      </c>
      <c r="AE17" s="801" t="s">
        <v>311</v>
      </c>
      <c r="AF17" s="1189" t="s">
        <v>1170</v>
      </c>
      <c r="AG17" s="1202"/>
      <c r="AH17" s="1198">
        <f>SUM(E124:AA124)+SUM(E133:AA133)</f>
        <v>361038.96</v>
      </c>
    </row>
    <row r="18" spans="1:34" ht="25" customHeight="1">
      <c r="A18" s="2818" t="s">
        <v>1334</v>
      </c>
      <c r="B18" s="2819"/>
      <c r="C18" s="1512"/>
      <c r="D18" s="1512"/>
      <c r="E18" s="2263">
        <v>1</v>
      </c>
      <c r="F18" s="2263"/>
      <c r="G18" s="2263"/>
      <c r="H18" s="2263"/>
      <c r="I18" s="2263"/>
      <c r="J18" s="2263"/>
      <c r="K18" s="2263"/>
      <c r="L18" s="2263"/>
      <c r="M18" s="2263"/>
      <c r="N18" s="2263"/>
      <c r="O18" s="2263"/>
      <c r="P18" s="1512"/>
      <c r="Q18" s="1512"/>
      <c r="R18" s="1512"/>
      <c r="S18" s="1512"/>
      <c r="T18" s="1512"/>
      <c r="U18" s="1512"/>
      <c r="V18" s="1512"/>
      <c r="W18" s="1512"/>
      <c r="X18" s="1512"/>
      <c r="Y18" s="1512"/>
      <c r="Z18" s="1515"/>
      <c r="AA18" s="1512"/>
      <c r="AB18" s="1516"/>
      <c r="AC18" s="1516"/>
      <c r="AD18" s="1417" t="s">
        <v>315</v>
      </c>
      <c r="AF18" s="1189" t="s">
        <v>366</v>
      </c>
      <c r="AG18" s="1202"/>
      <c r="AH18" s="1198" t="e" vm="1">
        <f>SUM(E121:AA121)</f>
        <v>#VALUE!</v>
      </c>
    </row>
    <row r="19" spans="1:34" ht="25" customHeight="1">
      <c r="A19" s="2814" t="s">
        <v>1335</v>
      </c>
      <c r="B19" s="2815"/>
      <c r="C19" s="1549"/>
      <c r="D19" s="1549"/>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18"/>
      <c r="AC19" s="1518"/>
      <c r="AD19" s="1417"/>
      <c r="AF19" s="1405"/>
      <c r="AG19" s="1406"/>
      <c r="AH19" s="1407"/>
    </row>
    <row r="20" spans="1:34" ht="25" customHeight="1">
      <c r="A20" s="2820" t="s">
        <v>1328</v>
      </c>
      <c r="B20" s="2821"/>
      <c r="C20" s="1519"/>
      <c r="D20" s="1519"/>
      <c r="E20" s="1520"/>
      <c r="F20" s="1520"/>
      <c r="G20" s="1520"/>
      <c r="H20" s="1520"/>
      <c r="I20" s="2264"/>
      <c r="J20" s="2264"/>
      <c r="K20" s="2264"/>
      <c r="L20" s="2264"/>
      <c r="M20" s="2264"/>
      <c r="N20" s="1520"/>
      <c r="O20" s="1520"/>
      <c r="P20" s="1520"/>
      <c r="Q20" s="1520"/>
      <c r="R20" s="1520"/>
      <c r="S20" s="1520"/>
      <c r="T20" s="1520"/>
      <c r="U20" s="1520"/>
      <c r="V20" s="1520"/>
      <c r="W20" s="1520"/>
      <c r="X20" s="1520"/>
      <c r="Y20" s="1520"/>
      <c r="Z20" s="1481"/>
      <c r="AA20" s="1520"/>
      <c r="AB20" s="1521"/>
      <c r="AC20" s="1521"/>
      <c r="AD20" s="1411" t="s">
        <v>575</v>
      </c>
      <c r="AF20" s="1189" t="s">
        <v>1091</v>
      </c>
      <c r="AG20" s="1202"/>
      <c r="AH20" s="1198">
        <f>SUM(E118:AA118)</f>
        <v>0</v>
      </c>
    </row>
    <row r="21" spans="1:34" ht="24" customHeight="1">
      <c r="A21" s="2818" t="s">
        <v>1089</v>
      </c>
      <c r="B21" s="2819"/>
      <c r="C21" s="1519"/>
      <c r="D21" s="1519"/>
      <c r="E21" s="1419">
        <f t="shared" ref="E21:AA21" si="3">IF(E18&gt;0,ROUND((ROUND(VLOOKUP(E4,basistabel,2,0)*E16,0))/12,2),0)</f>
        <v>30086.58</v>
      </c>
      <c r="F21" s="1419">
        <f t="shared" si="3"/>
        <v>0</v>
      </c>
      <c r="G21" s="1419">
        <f t="shared" si="3"/>
        <v>0</v>
      </c>
      <c r="H21" s="1419">
        <f t="shared" si="3"/>
        <v>0</v>
      </c>
      <c r="I21" s="1419">
        <f t="shared" si="3"/>
        <v>0</v>
      </c>
      <c r="J21" s="1419">
        <f t="shared" si="3"/>
        <v>0</v>
      </c>
      <c r="K21" s="1419">
        <f t="shared" si="3"/>
        <v>0</v>
      </c>
      <c r="L21" s="1419">
        <f t="shared" si="3"/>
        <v>0</v>
      </c>
      <c r="M21" s="1419">
        <f t="shared" si="3"/>
        <v>0</v>
      </c>
      <c r="N21" s="1419">
        <f t="shared" si="3"/>
        <v>0</v>
      </c>
      <c r="O21" s="1419">
        <f t="shared" si="3"/>
        <v>0</v>
      </c>
      <c r="P21" s="1419">
        <f t="shared" si="3"/>
        <v>0</v>
      </c>
      <c r="Q21" s="1419">
        <f t="shared" si="3"/>
        <v>0</v>
      </c>
      <c r="R21" s="1419">
        <f t="shared" si="3"/>
        <v>0</v>
      </c>
      <c r="S21" s="1419">
        <f t="shared" si="3"/>
        <v>0</v>
      </c>
      <c r="T21" s="1419">
        <f t="shared" si="3"/>
        <v>0</v>
      </c>
      <c r="U21" s="1419">
        <f t="shared" si="3"/>
        <v>0</v>
      </c>
      <c r="V21" s="1419">
        <f t="shared" si="3"/>
        <v>0</v>
      </c>
      <c r="W21" s="1419">
        <f t="shared" si="3"/>
        <v>0</v>
      </c>
      <c r="X21" s="1419">
        <f t="shared" si="3"/>
        <v>0</v>
      </c>
      <c r="Y21" s="1419">
        <f t="shared" si="3"/>
        <v>0</v>
      </c>
      <c r="Z21" s="1419">
        <f t="shared" si="3"/>
        <v>0</v>
      </c>
      <c r="AA21" s="1419">
        <f t="shared" si="3"/>
        <v>0</v>
      </c>
      <c r="AB21" s="1521"/>
      <c r="AC21" s="1521"/>
      <c r="AD21" s="1411" t="s">
        <v>316</v>
      </c>
      <c r="AF21" s="1189" t="s">
        <v>1195</v>
      </c>
      <c r="AG21" s="1202"/>
      <c r="AH21" s="1198">
        <f>SUM(E127:AA127)</f>
        <v>9569.76</v>
      </c>
    </row>
    <row r="22" spans="1:34" ht="24" customHeight="1">
      <c r="A22" s="2818" t="s">
        <v>1090</v>
      </c>
      <c r="B22" s="2819"/>
      <c r="C22" s="1420"/>
      <c r="D22" s="1420"/>
      <c r="E22" s="1421" t="e" vm="2">
        <f t="shared" ref="E22:AA22" si="4">IF(E18&gt;0,ROUND((VLOOKUP(E4,omraadetabel,E17,0))/12,2),0)</f>
        <v>#VALUE!</v>
      </c>
      <c r="F22" s="1421">
        <f t="shared" si="4"/>
        <v>0</v>
      </c>
      <c r="G22" s="1421">
        <f t="shared" si="4"/>
        <v>0</v>
      </c>
      <c r="H22" s="1421">
        <f t="shared" si="4"/>
        <v>0</v>
      </c>
      <c r="I22" s="1421">
        <f t="shared" si="4"/>
        <v>0</v>
      </c>
      <c r="J22" s="1421">
        <f t="shared" si="4"/>
        <v>0</v>
      </c>
      <c r="K22" s="1421">
        <f t="shared" si="4"/>
        <v>0</v>
      </c>
      <c r="L22" s="1421">
        <f t="shared" si="4"/>
        <v>0</v>
      </c>
      <c r="M22" s="1421">
        <f t="shared" si="4"/>
        <v>0</v>
      </c>
      <c r="N22" s="1421">
        <f t="shared" si="4"/>
        <v>0</v>
      </c>
      <c r="O22" s="1421">
        <f t="shared" si="4"/>
        <v>0</v>
      </c>
      <c r="P22" s="1421">
        <f t="shared" si="4"/>
        <v>0</v>
      </c>
      <c r="Q22" s="1421">
        <f t="shared" si="4"/>
        <v>0</v>
      </c>
      <c r="R22" s="1421">
        <f t="shared" si="4"/>
        <v>0</v>
      </c>
      <c r="S22" s="1421">
        <f t="shared" si="4"/>
        <v>0</v>
      </c>
      <c r="T22" s="1421">
        <f t="shared" si="4"/>
        <v>0</v>
      </c>
      <c r="U22" s="1421">
        <f t="shared" si="4"/>
        <v>0</v>
      </c>
      <c r="V22" s="1421">
        <f t="shared" si="4"/>
        <v>0</v>
      </c>
      <c r="W22" s="1421">
        <f t="shared" si="4"/>
        <v>0</v>
      </c>
      <c r="X22" s="1421">
        <f t="shared" si="4"/>
        <v>0</v>
      </c>
      <c r="Y22" s="1421">
        <f t="shared" si="4"/>
        <v>0</v>
      </c>
      <c r="Z22" s="1421">
        <f t="shared" si="4"/>
        <v>0</v>
      </c>
      <c r="AA22" s="1421">
        <f t="shared" si="4"/>
        <v>0</v>
      </c>
      <c r="AB22" s="1521"/>
      <c r="AC22" s="1521"/>
      <c r="AD22" s="1411" t="s">
        <v>316</v>
      </c>
      <c r="AF22" s="1189" t="s">
        <v>1196</v>
      </c>
      <c r="AG22" s="1202"/>
      <c r="AH22" s="1198">
        <f>SUM(E129:AA129)</f>
        <v>3391.7999999999997</v>
      </c>
    </row>
    <row r="23" spans="1:34" ht="24" customHeight="1">
      <c r="A23" s="2818" t="s">
        <v>1122</v>
      </c>
      <c r="B23" s="2819"/>
      <c r="C23" s="1419">
        <f>IF(C4&gt;0,C4/12*C16*C$18,0)</f>
        <v>0</v>
      </c>
      <c r="D23" s="1419">
        <f>IF(D4&gt;0,D4/12*D16*D$18,0)</f>
        <v>0</v>
      </c>
      <c r="E23" s="1419" t="e" vm="1">
        <f t="shared" ref="E23:AA23" si="5">ROUND((E$21+E$22)*E$18,2)</f>
        <v>#VALUE!</v>
      </c>
      <c r="F23" s="1419">
        <f t="shared" si="5"/>
        <v>0</v>
      </c>
      <c r="G23" s="1419">
        <f t="shared" si="5"/>
        <v>0</v>
      </c>
      <c r="H23" s="1419">
        <f t="shared" si="5"/>
        <v>0</v>
      </c>
      <c r="I23" s="1419">
        <f t="shared" si="5"/>
        <v>0</v>
      </c>
      <c r="J23" s="1419">
        <f t="shared" si="5"/>
        <v>0</v>
      </c>
      <c r="K23" s="1419">
        <f t="shared" si="5"/>
        <v>0</v>
      </c>
      <c r="L23" s="1419">
        <f t="shared" si="5"/>
        <v>0</v>
      </c>
      <c r="M23" s="1419">
        <f t="shared" si="5"/>
        <v>0</v>
      </c>
      <c r="N23" s="1419">
        <f t="shared" si="5"/>
        <v>0</v>
      </c>
      <c r="O23" s="1419">
        <f t="shared" si="5"/>
        <v>0</v>
      </c>
      <c r="P23" s="1419">
        <f t="shared" si="5"/>
        <v>0</v>
      </c>
      <c r="Q23" s="1419">
        <f t="shared" si="5"/>
        <v>0</v>
      </c>
      <c r="R23" s="1419">
        <f t="shared" si="5"/>
        <v>0</v>
      </c>
      <c r="S23" s="1419">
        <f t="shared" si="5"/>
        <v>0</v>
      </c>
      <c r="T23" s="1419">
        <f t="shared" si="5"/>
        <v>0</v>
      </c>
      <c r="U23" s="1419">
        <f t="shared" si="5"/>
        <v>0</v>
      </c>
      <c r="V23" s="1419">
        <f t="shared" si="5"/>
        <v>0</v>
      </c>
      <c r="W23" s="1419">
        <f t="shared" si="5"/>
        <v>0</v>
      </c>
      <c r="X23" s="1419">
        <f t="shared" si="5"/>
        <v>0</v>
      </c>
      <c r="Y23" s="1419">
        <f t="shared" si="5"/>
        <v>0</v>
      </c>
      <c r="Z23" s="1419">
        <f t="shared" si="5"/>
        <v>0</v>
      </c>
      <c r="AA23" s="1419">
        <f t="shared" si="5"/>
        <v>0</v>
      </c>
      <c r="AB23" s="1419">
        <f>(AB4*AB16)*AB5</f>
        <v>0</v>
      </c>
      <c r="AC23" s="1419">
        <f>(AC4*AC16)*AC5</f>
        <v>0</v>
      </c>
      <c r="AD23" s="1411"/>
      <c r="AF23" s="1189" t="s">
        <v>1197</v>
      </c>
      <c r="AG23" s="1202"/>
      <c r="AH23" s="1198">
        <f>SUM(E131:AA131)</f>
        <v>1090.1999999999998</v>
      </c>
    </row>
    <row r="24" spans="1:34" ht="24" customHeight="1">
      <c r="A24" s="2818" t="s">
        <v>1091</v>
      </c>
      <c r="B24" s="2819"/>
      <c r="C24" s="1420"/>
      <c r="D24" s="1420"/>
      <c r="E24" s="1422">
        <f>ROUND(SUM(E111:E114),2)</f>
        <v>0</v>
      </c>
      <c r="F24" s="1422">
        <f>ROUND(SUM(F111:F114),2)</f>
        <v>0</v>
      </c>
      <c r="G24" s="1422">
        <f t="shared" ref="G24:AA24" si="6">ROUND(SUM(G111:G114),2)</f>
        <v>0</v>
      </c>
      <c r="H24" s="1422">
        <f t="shared" si="6"/>
        <v>0</v>
      </c>
      <c r="I24" s="1422">
        <f t="shared" si="6"/>
        <v>0</v>
      </c>
      <c r="J24" s="1422">
        <f t="shared" ref="J24" si="7">ROUND(SUM(J111:J114),2)</f>
        <v>0</v>
      </c>
      <c r="K24" s="1422">
        <f t="shared" si="6"/>
        <v>0</v>
      </c>
      <c r="L24" s="1422">
        <f t="shared" si="6"/>
        <v>0</v>
      </c>
      <c r="M24" s="1422">
        <f t="shared" si="6"/>
        <v>0</v>
      </c>
      <c r="N24" s="1422">
        <f t="shared" si="6"/>
        <v>0</v>
      </c>
      <c r="O24" s="1422">
        <f t="shared" si="6"/>
        <v>0</v>
      </c>
      <c r="P24" s="1422">
        <f t="shared" si="6"/>
        <v>0</v>
      </c>
      <c r="Q24" s="1422">
        <f t="shared" si="6"/>
        <v>0</v>
      </c>
      <c r="R24" s="1422">
        <f t="shared" si="6"/>
        <v>0</v>
      </c>
      <c r="S24" s="1422">
        <f t="shared" si="6"/>
        <v>0</v>
      </c>
      <c r="T24" s="1422">
        <f t="shared" si="6"/>
        <v>0</v>
      </c>
      <c r="U24" s="1422">
        <f t="shared" ref="U24" si="8">ROUND(SUM(U111:U114),2)</f>
        <v>0</v>
      </c>
      <c r="V24" s="1422">
        <f t="shared" ref="V24:X24" si="9">ROUND(SUM(V111:V114),2)</f>
        <v>0</v>
      </c>
      <c r="W24" s="1422">
        <f t="shared" si="9"/>
        <v>0</v>
      </c>
      <c r="X24" s="1422">
        <f t="shared" si="9"/>
        <v>0</v>
      </c>
      <c r="Y24" s="1422">
        <f t="shared" ref="Y24:Z24" si="10">ROUND(SUM(Y111:Y114),2)</f>
        <v>0</v>
      </c>
      <c r="Z24" s="1422">
        <f t="shared" si="10"/>
        <v>0</v>
      </c>
      <c r="AA24" s="1422">
        <f t="shared" si="6"/>
        <v>0</v>
      </c>
      <c r="AB24" s="1521"/>
      <c r="AC24" s="1521"/>
      <c r="AD24" s="1423" t="s">
        <v>317</v>
      </c>
      <c r="AF24" s="1189" t="s">
        <v>1198</v>
      </c>
      <c r="AG24" s="1202"/>
      <c r="AH24" s="1198">
        <f>SUM(E135:AC135)</f>
        <v>0</v>
      </c>
    </row>
    <row r="25" spans="1:34" ht="30" customHeight="1">
      <c r="A25" s="2820" t="s">
        <v>1092</v>
      </c>
      <c r="B25" s="2821"/>
      <c r="C25" s="1420"/>
      <c r="D25" s="1420"/>
      <c r="E25" s="2265"/>
      <c r="F25" s="2265"/>
      <c r="G25" s="2265"/>
      <c r="H25" s="2265"/>
      <c r="I25" s="2265"/>
      <c r="J25" s="2265"/>
      <c r="K25" s="2265"/>
      <c r="L25" s="2265"/>
      <c r="M25" s="2265"/>
      <c r="N25" s="2265"/>
      <c r="O25" s="2265"/>
      <c r="P25" s="2265"/>
      <c r="Q25" s="2265"/>
      <c r="R25" s="2265"/>
      <c r="S25" s="2265"/>
      <c r="T25" s="2265"/>
      <c r="U25" s="2265"/>
      <c r="V25" s="2265"/>
      <c r="W25" s="2265"/>
      <c r="X25" s="2265"/>
      <c r="Y25" s="2265"/>
      <c r="Z25" s="2265"/>
      <c r="AA25" s="2265"/>
      <c r="AB25" s="1521"/>
      <c r="AC25" s="1521"/>
      <c r="AD25" s="1423" t="s">
        <v>572</v>
      </c>
      <c r="AF25" s="1189" t="s">
        <v>1199</v>
      </c>
      <c r="AG25" s="1202"/>
      <c r="AH25" s="1198">
        <f>SUM(E138:AC138)</f>
        <v>0</v>
      </c>
    </row>
    <row r="26" spans="1:34" ht="30" customHeight="1">
      <c r="A26" s="2820" t="s">
        <v>1123</v>
      </c>
      <c r="B26" s="2821"/>
      <c r="C26" s="1425"/>
      <c r="D26" s="1426"/>
      <c r="E26" s="2265"/>
      <c r="F26" s="2265"/>
      <c r="G26" s="2265"/>
      <c r="H26" s="2265"/>
      <c r="I26" s="2265"/>
      <c r="J26" s="2265"/>
      <c r="K26" s="2265"/>
      <c r="L26" s="2265"/>
      <c r="M26" s="2265"/>
      <c r="N26" s="2265"/>
      <c r="O26" s="2265"/>
      <c r="P26" s="2265"/>
      <c r="Q26" s="2265"/>
      <c r="R26" s="2265"/>
      <c r="S26" s="2265"/>
      <c r="T26" s="2265"/>
      <c r="U26" s="2265"/>
      <c r="V26" s="2265"/>
      <c r="W26" s="2265"/>
      <c r="X26" s="2265"/>
      <c r="Y26" s="2265"/>
      <c r="Z26" s="2265"/>
      <c r="AA26" s="2265"/>
      <c r="AB26" s="1426"/>
      <c r="AC26" s="1426"/>
      <c r="AD26" s="1411" t="s">
        <v>318</v>
      </c>
      <c r="AF26" s="1189" t="s">
        <v>1180</v>
      </c>
      <c r="AG26" s="1202"/>
      <c r="AH26" s="1198">
        <f>SUM(E146:AC146)</f>
        <v>0</v>
      </c>
    </row>
    <row r="27" spans="1:34" ht="30" customHeight="1">
      <c r="A27" s="2820" t="s">
        <v>1123</v>
      </c>
      <c r="B27" s="2821"/>
      <c r="C27" s="1427"/>
      <c r="D27" s="1428"/>
      <c r="E27" s="2265"/>
      <c r="F27" s="2265"/>
      <c r="G27" s="2265"/>
      <c r="H27" s="2265"/>
      <c r="I27" s="2265"/>
      <c r="J27" s="2265"/>
      <c r="K27" s="2265"/>
      <c r="L27" s="2265"/>
      <c r="M27" s="2265"/>
      <c r="N27" s="2265"/>
      <c r="O27" s="2265"/>
      <c r="P27" s="2265"/>
      <c r="Q27" s="2265"/>
      <c r="R27" s="2265"/>
      <c r="S27" s="2265"/>
      <c r="T27" s="2265"/>
      <c r="U27" s="2265"/>
      <c r="V27" s="2265"/>
      <c r="W27" s="2265"/>
      <c r="X27" s="2265"/>
      <c r="Y27" s="2265"/>
      <c r="Z27" s="2265"/>
      <c r="AA27" s="2265"/>
      <c r="AB27" s="1429"/>
      <c r="AC27" s="1429"/>
      <c r="AD27" s="1411" t="s">
        <v>318</v>
      </c>
      <c r="AF27" s="1189" t="s">
        <v>1200</v>
      </c>
      <c r="AG27" s="1202"/>
      <c r="AH27" s="1198">
        <f>SUM(E144:AC144)</f>
        <v>0</v>
      </c>
    </row>
    <row r="28" spans="1:34" ht="30" customHeight="1">
      <c r="A28" s="2820" t="s">
        <v>1124</v>
      </c>
      <c r="B28" s="2821"/>
      <c r="C28" s="1430"/>
      <c r="D28" s="1431"/>
      <c r="E28" s="2265"/>
      <c r="F28" s="2265"/>
      <c r="G28" s="2265"/>
      <c r="H28" s="2265"/>
      <c r="I28" s="2265"/>
      <c r="J28" s="2265"/>
      <c r="K28" s="2265"/>
      <c r="L28" s="2265"/>
      <c r="M28" s="2265"/>
      <c r="N28" s="2265"/>
      <c r="O28" s="2265"/>
      <c r="P28" s="2265"/>
      <c r="Q28" s="2265"/>
      <c r="R28" s="2265"/>
      <c r="S28" s="2265"/>
      <c r="T28" s="2265"/>
      <c r="U28" s="2265"/>
      <c r="V28" s="2265"/>
      <c r="W28" s="2265"/>
      <c r="X28" s="2265"/>
      <c r="Y28" s="2265"/>
      <c r="Z28" s="2265"/>
      <c r="AA28" s="2265"/>
      <c r="AB28" s="1431"/>
      <c r="AC28" s="1431"/>
      <c r="AD28" s="1411" t="s">
        <v>319</v>
      </c>
      <c r="AF28" s="1189" t="s">
        <v>1201</v>
      </c>
      <c r="AG28" s="1202"/>
      <c r="AH28" s="1198">
        <f>SUM(E141:AC141)</f>
        <v>0</v>
      </c>
    </row>
    <row r="29" spans="1:34" ht="30" customHeight="1">
      <c r="A29" s="2820" t="s">
        <v>1094</v>
      </c>
      <c r="B29" s="2821"/>
      <c r="C29" s="1420"/>
      <c r="D29" s="1424"/>
      <c r="E29" s="2265"/>
      <c r="F29" s="2265"/>
      <c r="G29" s="2265"/>
      <c r="H29" s="2265"/>
      <c r="I29" s="2265"/>
      <c r="J29" s="2265"/>
      <c r="K29" s="2265"/>
      <c r="L29" s="2265"/>
      <c r="M29" s="2265"/>
      <c r="N29" s="2265"/>
      <c r="O29" s="2265"/>
      <c r="P29" s="2265"/>
      <c r="Q29" s="2265"/>
      <c r="R29" s="2265"/>
      <c r="S29" s="2265"/>
      <c r="T29" s="2265"/>
      <c r="U29" s="2265"/>
      <c r="V29" s="2265"/>
      <c r="W29" s="2265"/>
      <c r="X29" s="2265"/>
      <c r="Y29" s="2265"/>
      <c r="Z29" s="2265"/>
      <c r="AA29" s="2265"/>
      <c r="AB29" s="1424"/>
      <c r="AC29" s="1424"/>
      <c r="AD29" s="1411" t="s">
        <v>319</v>
      </c>
      <c r="AF29" s="1190" t="s">
        <v>1208</v>
      </c>
      <c r="AG29" s="1183" t="s">
        <v>1187</v>
      </c>
      <c r="AH29" s="1183">
        <f>budgetår</f>
        <v>2024</v>
      </c>
    </row>
    <row r="30" spans="1:34" ht="30" customHeight="1">
      <c r="A30" s="2820" t="s">
        <v>1094</v>
      </c>
      <c r="B30" s="2821"/>
      <c r="C30" s="1432"/>
      <c r="D30" s="1426"/>
      <c r="E30" s="2265"/>
      <c r="F30" s="2265"/>
      <c r="G30" s="2265"/>
      <c r="H30" s="2265"/>
      <c r="I30" s="2265"/>
      <c r="J30" s="2265"/>
      <c r="K30" s="2265"/>
      <c r="L30" s="2265"/>
      <c r="M30" s="2265"/>
      <c r="N30" s="2265"/>
      <c r="O30" s="2265"/>
      <c r="P30" s="2265"/>
      <c r="Q30" s="2265"/>
      <c r="R30" s="2265"/>
      <c r="S30" s="2265"/>
      <c r="T30" s="2265"/>
      <c r="U30" s="2265"/>
      <c r="V30" s="2265"/>
      <c r="W30" s="2265"/>
      <c r="X30" s="2265"/>
      <c r="Y30" s="2265"/>
      <c r="Z30" s="2265"/>
      <c r="AA30" s="2265"/>
      <c r="AB30" s="1426"/>
      <c r="AC30" s="1426"/>
      <c r="AD30" s="1411" t="s">
        <v>319</v>
      </c>
      <c r="AF30" s="1191" t="s">
        <v>1096</v>
      </c>
      <c r="AG30" s="1202"/>
      <c r="AH30" s="1197">
        <f>SUM(C148:AC148)</f>
        <v>1300.1999999999998</v>
      </c>
    </row>
    <row r="31" spans="1:34" ht="24" customHeight="1">
      <c r="A31" s="2820" t="s">
        <v>1093</v>
      </c>
      <c r="B31" s="2821"/>
      <c r="C31" s="1433"/>
      <c r="D31" s="1433"/>
      <c r="E31" s="2265"/>
      <c r="F31" s="2265"/>
      <c r="G31" s="2265"/>
      <c r="H31" s="2265"/>
      <c r="I31" s="2265"/>
      <c r="J31" s="2265"/>
      <c r="K31" s="2265"/>
      <c r="L31" s="2265"/>
      <c r="M31" s="2265"/>
      <c r="N31" s="2265"/>
      <c r="O31" s="2265"/>
      <c r="P31" s="2265"/>
      <c r="Q31" s="2265"/>
      <c r="R31" s="2265"/>
      <c r="S31" s="2265"/>
      <c r="T31" s="2265"/>
      <c r="U31" s="2265"/>
      <c r="V31" s="2265"/>
      <c r="W31" s="2265"/>
      <c r="X31" s="2265"/>
      <c r="Y31" s="2265"/>
      <c r="Z31" s="2265"/>
      <c r="AA31" s="2265"/>
      <c r="AB31" s="1433"/>
      <c r="AC31" s="1433"/>
      <c r="AD31" s="1411"/>
      <c r="AF31" s="1191" t="s">
        <v>738</v>
      </c>
      <c r="AG31" s="1202"/>
      <c r="AH31" s="1197" t="e" vm="1">
        <f>SUM(C153:AC153)</f>
        <v>#VALUE!</v>
      </c>
    </row>
    <row r="32" spans="1:34" ht="41" customHeight="1">
      <c r="A32" s="2820" t="s">
        <v>1126</v>
      </c>
      <c r="B32" s="2821"/>
      <c r="C32" s="1427"/>
      <c r="D32" s="1428"/>
      <c r="E32" s="2265"/>
      <c r="F32" s="2265"/>
      <c r="G32" s="2265"/>
      <c r="H32" s="2265"/>
      <c r="I32" s="2265"/>
      <c r="J32" s="2265"/>
      <c r="K32" s="2265"/>
      <c r="L32" s="2265"/>
      <c r="M32" s="2265"/>
      <c r="N32" s="2265"/>
      <c r="O32" s="2265"/>
      <c r="P32" s="2265"/>
      <c r="Q32" s="2265"/>
      <c r="R32" s="2265"/>
      <c r="S32" s="2265"/>
      <c r="T32" s="2265"/>
      <c r="U32" s="2265"/>
      <c r="V32" s="2265"/>
      <c r="W32" s="2265"/>
      <c r="X32" s="2265"/>
      <c r="Y32" s="2265"/>
      <c r="Z32" s="2265"/>
      <c r="AA32" s="2265"/>
      <c r="AB32" s="1428"/>
      <c r="AC32" s="1428"/>
      <c r="AD32" s="1411" t="s">
        <v>319</v>
      </c>
      <c r="AF32" s="1191" t="s">
        <v>699</v>
      </c>
      <c r="AG32" s="1202"/>
      <c r="AH32" s="1197">
        <f>SUM(C156:AC156)</f>
        <v>2376</v>
      </c>
    </row>
    <row r="33" spans="1:34" ht="29" customHeight="1">
      <c r="A33" s="2820" t="s">
        <v>1329</v>
      </c>
      <c r="B33" s="2821"/>
      <c r="C33" s="1434"/>
      <c r="D33" s="1434"/>
      <c r="E33" s="2265"/>
      <c r="F33" s="2265"/>
      <c r="G33" s="2265"/>
      <c r="H33" s="2265"/>
      <c r="I33" s="2265"/>
      <c r="J33" s="2265"/>
      <c r="K33" s="2265"/>
      <c r="L33" s="2265"/>
      <c r="M33" s="2265"/>
      <c r="N33" s="2265"/>
      <c r="O33" s="2265"/>
      <c r="P33" s="2265"/>
      <c r="Q33" s="2265"/>
      <c r="R33" s="2265"/>
      <c r="S33" s="2265"/>
      <c r="T33" s="2265"/>
      <c r="U33" s="2265"/>
      <c r="V33" s="2265"/>
      <c r="W33" s="2265"/>
      <c r="X33" s="2265"/>
      <c r="Y33" s="2265"/>
      <c r="Z33" s="2265"/>
      <c r="AA33" s="2265"/>
      <c r="AB33" s="1521"/>
      <c r="AC33" s="1521"/>
      <c r="AD33" s="1411" t="s">
        <v>317</v>
      </c>
      <c r="AF33" s="1191" t="s">
        <v>1181</v>
      </c>
      <c r="AG33" s="1202"/>
      <c r="AH33" s="1197">
        <f>SUM(C166:AC166)</f>
        <v>0</v>
      </c>
    </row>
    <row r="34" spans="1:34" ht="24" customHeight="1">
      <c r="A34" s="2820" t="s">
        <v>320</v>
      </c>
      <c r="B34" s="2821"/>
      <c r="C34" s="1437"/>
      <c r="D34" s="1437"/>
      <c r="E34" s="1438">
        <f t="shared" ref="E34:AA34" si="11">MAX(ROUND((IF(RIGHT(E4)="1",5200)+IF(OR(RIGHT(E4)="2",RIGHT(E4)="3"),7900))*E16/12*E18,2),0)</f>
        <v>797.48</v>
      </c>
      <c r="F34" s="1438">
        <f t="shared" si="11"/>
        <v>0</v>
      </c>
      <c r="G34" s="1438">
        <f t="shared" si="11"/>
        <v>0</v>
      </c>
      <c r="H34" s="1438">
        <f t="shared" si="11"/>
        <v>0</v>
      </c>
      <c r="I34" s="1438">
        <f t="shared" si="11"/>
        <v>0</v>
      </c>
      <c r="J34" s="1438">
        <f t="shared" si="11"/>
        <v>0</v>
      </c>
      <c r="K34" s="1438">
        <f t="shared" si="11"/>
        <v>0</v>
      </c>
      <c r="L34" s="1438">
        <f t="shared" si="11"/>
        <v>0</v>
      </c>
      <c r="M34" s="1438">
        <f t="shared" si="11"/>
        <v>0</v>
      </c>
      <c r="N34" s="1438">
        <f t="shared" si="11"/>
        <v>0</v>
      </c>
      <c r="O34" s="1438">
        <f t="shared" si="11"/>
        <v>0</v>
      </c>
      <c r="P34" s="1438">
        <f t="shared" si="11"/>
        <v>0</v>
      </c>
      <c r="Q34" s="1438">
        <f t="shared" si="11"/>
        <v>0</v>
      </c>
      <c r="R34" s="1438">
        <f t="shared" si="11"/>
        <v>0</v>
      </c>
      <c r="S34" s="1438">
        <f t="shared" si="11"/>
        <v>0</v>
      </c>
      <c r="T34" s="1438">
        <f t="shared" si="11"/>
        <v>0</v>
      </c>
      <c r="U34" s="1438">
        <f t="shared" si="11"/>
        <v>0</v>
      </c>
      <c r="V34" s="1438">
        <f t="shared" si="11"/>
        <v>0</v>
      </c>
      <c r="W34" s="1438">
        <f t="shared" si="11"/>
        <v>0</v>
      </c>
      <c r="X34" s="1438">
        <f t="shared" si="11"/>
        <v>0</v>
      </c>
      <c r="Y34" s="1438">
        <f t="shared" si="11"/>
        <v>0</v>
      </c>
      <c r="Z34" s="1438">
        <f t="shared" si="11"/>
        <v>0</v>
      </c>
      <c r="AA34" s="1438">
        <f t="shared" si="11"/>
        <v>0</v>
      </c>
      <c r="AB34" s="1521"/>
      <c r="AC34" s="1521"/>
      <c r="AD34" s="1411"/>
      <c r="AF34" s="1191" t="s">
        <v>1202</v>
      </c>
      <c r="AG34" s="1202"/>
      <c r="AH34" s="1197">
        <f>SUM(C168:AC168)</f>
        <v>0</v>
      </c>
    </row>
    <row r="35" spans="1:34" ht="24" customHeight="1">
      <c r="A35" s="2820" t="s">
        <v>601</v>
      </c>
      <c r="B35" s="2821"/>
      <c r="C35" s="1437"/>
      <c r="D35" s="1437"/>
      <c r="E35" s="1438">
        <f t="shared" ref="E35:AA35" si="12">ROUND(IF(E$4&lt;&gt;"",2800,0)*E$18/12*E$16,2)</f>
        <v>282.64999999999998</v>
      </c>
      <c r="F35" s="1438">
        <f t="shared" si="12"/>
        <v>0</v>
      </c>
      <c r="G35" s="1438">
        <f t="shared" si="12"/>
        <v>0</v>
      </c>
      <c r="H35" s="1438">
        <f t="shared" si="12"/>
        <v>0</v>
      </c>
      <c r="I35" s="1438">
        <f t="shared" si="12"/>
        <v>0</v>
      </c>
      <c r="J35" s="1438">
        <f t="shared" si="12"/>
        <v>0</v>
      </c>
      <c r="K35" s="1438">
        <f t="shared" si="12"/>
        <v>0</v>
      </c>
      <c r="L35" s="1438">
        <f t="shared" si="12"/>
        <v>0</v>
      </c>
      <c r="M35" s="1438">
        <f t="shared" si="12"/>
        <v>0</v>
      </c>
      <c r="N35" s="1438">
        <f t="shared" si="12"/>
        <v>0</v>
      </c>
      <c r="O35" s="1438">
        <f t="shared" si="12"/>
        <v>0</v>
      </c>
      <c r="P35" s="1438">
        <f t="shared" si="12"/>
        <v>0</v>
      </c>
      <c r="Q35" s="1438">
        <f t="shared" si="12"/>
        <v>0</v>
      </c>
      <c r="R35" s="1438">
        <f t="shared" si="12"/>
        <v>0</v>
      </c>
      <c r="S35" s="1438">
        <f t="shared" si="12"/>
        <v>0</v>
      </c>
      <c r="T35" s="1438">
        <f t="shared" si="12"/>
        <v>0</v>
      </c>
      <c r="U35" s="1438">
        <f t="shared" si="12"/>
        <v>0</v>
      </c>
      <c r="V35" s="1438">
        <f t="shared" si="12"/>
        <v>0</v>
      </c>
      <c r="W35" s="1438">
        <f t="shared" si="12"/>
        <v>0</v>
      </c>
      <c r="X35" s="1438">
        <f t="shared" si="12"/>
        <v>0</v>
      </c>
      <c r="Y35" s="1438">
        <f t="shared" si="12"/>
        <v>0</v>
      </c>
      <c r="Z35" s="1438">
        <f t="shared" si="12"/>
        <v>0</v>
      </c>
      <c r="AA35" s="1438">
        <f t="shared" si="12"/>
        <v>0</v>
      </c>
      <c r="AB35" s="1521"/>
      <c r="AC35" s="1521"/>
      <c r="AD35" s="1417"/>
      <c r="AF35" s="1191" t="s">
        <v>1203</v>
      </c>
      <c r="AG35" s="1202"/>
      <c r="AH35" s="1197" t="e" vm="1">
        <f>SUM(C170:AC170)</f>
        <v>#VALUE!</v>
      </c>
    </row>
    <row r="36" spans="1:34" ht="24" customHeight="1">
      <c r="A36" s="2820" t="s">
        <v>1084</v>
      </c>
      <c r="B36" s="2821"/>
      <c r="C36" s="1430"/>
      <c r="D36" s="1430"/>
      <c r="E36" s="1438">
        <f t="shared" ref="E36:AA36" si="13">ROUND(IF(E$4&lt;&gt;"",900,0)*E$18/12*E$16,2)</f>
        <v>90.85</v>
      </c>
      <c r="F36" s="1438">
        <f t="shared" si="13"/>
        <v>0</v>
      </c>
      <c r="G36" s="1438">
        <f t="shared" si="13"/>
        <v>0</v>
      </c>
      <c r="H36" s="1438">
        <f t="shared" si="13"/>
        <v>0</v>
      </c>
      <c r="I36" s="1438">
        <f t="shared" si="13"/>
        <v>0</v>
      </c>
      <c r="J36" s="1438">
        <f t="shared" si="13"/>
        <v>0</v>
      </c>
      <c r="K36" s="1438">
        <f t="shared" si="13"/>
        <v>0</v>
      </c>
      <c r="L36" s="1438">
        <f t="shared" si="13"/>
        <v>0</v>
      </c>
      <c r="M36" s="1438">
        <f t="shared" si="13"/>
        <v>0</v>
      </c>
      <c r="N36" s="1438">
        <f t="shared" si="13"/>
        <v>0</v>
      </c>
      <c r="O36" s="1438">
        <f t="shared" si="13"/>
        <v>0</v>
      </c>
      <c r="P36" s="1438">
        <f t="shared" si="13"/>
        <v>0</v>
      </c>
      <c r="Q36" s="1438">
        <f t="shared" si="13"/>
        <v>0</v>
      </c>
      <c r="R36" s="1438">
        <f t="shared" si="13"/>
        <v>0</v>
      </c>
      <c r="S36" s="1438">
        <f t="shared" si="13"/>
        <v>0</v>
      </c>
      <c r="T36" s="1438">
        <f t="shared" si="13"/>
        <v>0</v>
      </c>
      <c r="U36" s="1438">
        <f t="shared" si="13"/>
        <v>0</v>
      </c>
      <c r="V36" s="1438">
        <f t="shared" si="13"/>
        <v>0</v>
      </c>
      <c r="W36" s="1438">
        <f t="shared" si="13"/>
        <v>0</v>
      </c>
      <c r="X36" s="1438">
        <f t="shared" si="13"/>
        <v>0</v>
      </c>
      <c r="Y36" s="1438">
        <f t="shared" si="13"/>
        <v>0</v>
      </c>
      <c r="Z36" s="1438">
        <f t="shared" si="13"/>
        <v>0</v>
      </c>
      <c r="AA36" s="1438">
        <f t="shared" si="13"/>
        <v>0</v>
      </c>
      <c r="AB36" s="1521"/>
      <c r="AC36" s="1521"/>
      <c r="AD36" s="1417"/>
      <c r="AF36" s="2315" t="s">
        <v>1386</v>
      </c>
      <c r="AG36" s="2316"/>
      <c r="AH36" s="2317">
        <f>SUM(C162:AC162)+SUM(C151:AA151)</f>
        <v>0</v>
      </c>
    </row>
    <row r="37" spans="1:34" ht="28" customHeight="1">
      <c r="A37" s="2820" t="s">
        <v>1242</v>
      </c>
      <c r="B37" s="2821"/>
      <c r="C37" s="1419">
        <f>ROUND((SUM(C25:C28)+SUM(C29:C33)*C18)/12*C16,2)+SUM(C34:C36)</f>
        <v>0</v>
      </c>
      <c r="D37" s="1419">
        <f t="shared" ref="D37:AA37" si="14">((D26+D27+D25+D28+D31)*D16/12)+((D29+D30+D32+D33)*D16*D18/12)+D34+D35+D36+D24</f>
        <v>0</v>
      </c>
      <c r="E37" s="1419">
        <f>((E26+E27+E25+E28+E31)*E16/12)+((E29+E30+E32+E33)*E16*E18/12)+E34+E35+E36+E24</f>
        <v>1170.98</v>
      </c>
      <c r="F37" s="1419">
        <f t="shared" si="14"/>
        <v>0</v>
      </c>
      <c r="G37" s="1419">
        <f t="shared" si="14"/>
        <v>0</v>
      </c>
      <c r="H37" s="1419">
        <f t="shared" si="14"/>
        <v>0</v>
      </c>
      <c r="I37" s="1419">
        <f t="shared" si="14"/>
        <v>0</v>
      </c>
      <c r="J37" s="1419">
        <f t="shared" si="14"/>
        <v>0</v>
      </c>
      <c r="K37" s="1419">
        <f t="shared" si="14"/>
        <v>0</v>
      </c>
      <c r="L37" s="1419">
        <f t="shared" si="14"/>
        <v>0</v>
      </c>
      <c r="M37" s="1419">
        <f t="shared" si="14"/>
        <v>0</v>
      </c>
      <c r="N37" s="1419">
        <f t="shared" si="14"/>
        <v>0</v>
      </c>
      <c r="O37" s="1419">
        <f t="shared" si="14"/>
        <v>0</v>
      </c>
      <c r="P37" s="1419">
        <f t="shared" si="14"/>
        <v>0</v>
      </c>
      <c r="Q37" s="1419">
        <f t="shared" si="14"/>
        <v>0</v>
      </c>
      <c r="R37" s="1419">
        <f t="shared" si="14"/>
        <v>0</v>
      </c>
      <c r="S37" s="1419">
        <f t="shared" si="14"/>
        <v>0</v>
      </c>
      <c r="T37" s="1419">
        <f t="shared" si="14"/>
        <v>0</v>
      </c>
      <c r="U37" s="1419">
        <f t="shared" si="14"/>
        <v>0</v>
      </c>
      <c r="V37" s="1419">
        <f t="shared" si="14"/>
        <v>0</v>
      </c>
      <c r="W37" s="1419">
        <f t="shared" si="14"/>
        <v>0</v>
      </c>
      <c r="X37" s="1419">
        <f t="shared" si="14"/>
        <v>0</v>
      </c>
      <c r="Y37" s="1419">
        <f t="shared" si="14"/>
        <v>0</v>
      </c>
      <c r="Z37" s="1419">
        <f t="shared" si="14"/>
        <v>0</v>
      </c>
      <c r="AA37" s="1419">
        <f t="shared" si="14"/>
        <v>0</v>
      </c>
      <c r="AB37" s="1521"/>
      <c r="AC37" s="1521"/>
      <c r="AD37" s="1411"/>
      <c r="AF37" s="2365" t="s">
        <v>1417</v>
      </c>
      <c r="AG37" s="2351"/>
      <c r="AH37" s="2366" t="e" vm="1">
        <f>SUM(C164:AA164)</f>
        <v>#VALUE!</v>
      </c>
    </row>
    <row r="38" spans="1:34" ht="24" customHeight="1">
      <c r="A38" s="2818" t="s">
        <v>1095</v>
      </c>
      <c r="B38" s="2819"/>
      <c r="C38" s="1439"/>
      <c r="D38" s="1416"/>
      <c r="E38" s="1416"/>
      <c r="F38" s="1416"/>
      <c r="G38" s="1416"/>
      <c r="H38" s="1416"/>
      <c r="I38" s="1416"/>
      <c r="J38" s="1416"/>
      <c r="K38" s="1416"/>
      <c r="L38" s="1416"/>
      <c r="M38" s="1416"/>
      <c r="N38" s="1416"/>
      <c r="O38" s="1416"/>
      <c r="P38" s="1416"/>
      <c r="Q38" s="1416"/>
      <c r="R38" s="1416"/>
      <c r="S38" s="1416"/>
      <c r="T38" s="1416"/>
      <c r="U38" s="1416"/>
      <c r="V38" s="1416"/>
      <c r="W38" s="1416"/>
      <c r="X38" s="1416"/>
      <c r="Y38" s="1416"/>
      <c r="Z38" s="1440"/>
      <c r="AA38" s="1416"/>
      <c r="AB38" s="1521"/>
      <c r="AC38" s="1521"/>
      <c r="AD38" s="1417" t="s">
        <v>321</v>
      </c>
      <c r="AF38" s="2315" t="s">
        <v>1387</v>
      </c>
      <c r="AG38" s="2316"/>
      <c r="AH38" s="2317">
        <f>SUM(C163:AC163)</f>
        <v>0</v>
      </c>
    </row>
    <row r="39" spans="1:34" ht="24" customHeight="1">
      <c r="A39" s="2818" t="s">
        <v>1085</v>
      </c>
      <c r="B39" s="2819"/>
      <c r="C39" s="1441"/>
      <c r="D39" s="1442"/>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40"/>
      <c r="AA39" s="1416"/>
      <c r="AB39" s="1521"/>
      <c r="AC39" s="1521"/>
      <c r="AD39" s="1417"/>
      <c r="AF39" s="1191" t="s">
        <v>1174</v>
      </c>
      <c r="AG39" s="1202"/>
      <c r="AH39" s="1197" t="e" vm="1">
        <f>SUM(C159:AC159)</f>
        <v>#VALUE!</v>
      </c>
    </row>
    <row r="40" spans="1:34" ht="24" customHeight="1">
      <c r="A40" s="2818" t="s">
        <v>1086</v>
      </c>
      <c r="B40" s="2819"/>
      <c r="C40" s="1443"/>
      <c r="D40" s="1442"/>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40"/>
      <c r="AA40" s="1416"/>
      <c r="AB40" s="1521"/>
      <c r="AC40" s="1521"/>
      <c r="AD40" s="1417"/>
      <c r="AF40" s="1191" t="s">
        <v>1204</v>
      </c>
      <c r="AG40" s="1202"/>
      <c r="AH40" s="1197" t="e" vm="1">
        <f>SUM(C161:AC161)</f>
        <v>#VALUE!</v>
      </c>
    </row>
    <row r="41" spans="1:34" ht="24" customHeight="1">
      <c r="A41" s="1444" t="s">
        <v>1326</v>
      </c>
      <c r="B41" s="1445"/>
      <c r="C41" s="1446"/>
      <c r="D41" s="1447"/>
      <c r="E41" s="1448"/>
      <c r="F41" s="1448"/>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522"/>
      <c r="AC41" s="1522"/>
      <c r="AD41" s="1417"/>
      <c r="AF41" s="1192" t="s">
        <v>1209</v>
      </c>
      <c r="AG41" s="1183" t="s">
        <v>1187</v>
      </c>
      <c r="AH41" s="1183">
        <f>budgetår</f>
        <v>2024</v>
      </c>
    </row>
    <row r="42" spans="1:34" ht="29" customHeight="1">
      <c r="A42" s="2820" t="s">
        <v>1357</v>
      </c>
      <c r="B42" s="2821"/>
      <c r="C42" s="1434"/>
      <c r="D42" s="1434"/>
      <c r="E42" s="1435"/>
      <c r="F42" s="1435"/>
      <c r="G42" s="1435"/>
      <c r="H42" s="1435"/>
      <c r="I42" s="1435"/>
      <c r="J42" s="1435"/>
      <c r="K42" s="1435"/>
      <c r="L42" s="1435"/>
      <c r="M42" s="1435"/>
      <c r="N42" s="1435"/>
      <c r="O42" s="1435"/>
      <c r="P42" s="1435"/>
      <c r="Q42" s="1435"/>
      <c r="R42" s="1435"/>
      <c r="S42" s="1435"/>
      <c r="T42" s="1435"/>
      <c r="U42" s="1435"/>
      <c r="V42" s="1435"/>
      <c r="W42" s="1435"/>
      <c r="X42" s="1435"/>
      <c r="Y42" s="1435"/>
      <c r="Z42" s="1436"/>
      <c r="AA42" s="1435"/>
      <c r="AB42" s="1435"/>
      <c r="AC42" s="1435"/>
      <c r="AD42" s="1411" t="s">
        <v>322</v>
      </c>
      <c r="AF42" s="1193" t="s">
        <v>1205</v>
      </c>
      <c r="AG42" s="1202"/>
      <c r="AH42" s="1196">
        <f>SUM(AB124:AC124)</f>
        <v>0</v>
      </c>
    </row>
    <row r="43" spans="1:34" ht="24" customHeight="1">
      <c r="A43" s="2818" t="s">
        <v>1096</v>
      </c>
      <c r="B43" s="2819"/>
      <c r="C43" s="1449">
        <f t="shared" ref="C43:AA43" si="15">IF(C18&gt;0,Gr.liv,0)</f>
        <v>0</v>
      </c>
      <c r="D43" s="1449">
        <f t="shared" si="15"/>
        <v>0</v>
      </c>
      <c r="E43" s="1449">
        <f t="shared" si="15"/>
        <v>108.35</v>
      </c>
      <c r="F43" s="1449">
        <f t="shared" si="15"/>
        <v>0</v>
      </c>
      <c r="G43" s="1449">
        <f t="shared" si="15"/>
        <v>0</v>
      </c>
      <c r="H43" s="1449">
        <f t="shared" si="15"/>
        <v>0</v>
      </c>
      <c r="I43" s="1449">
        <f t="shared" si="15"/>
        <v>0</v>
      </c>
      <c r="J43" s="1449">
        <f t="shared" si="15"/>
        <v>0</v>
      </c>
      <c r="K43" s="1449">
        <f t="shared" si="15"/>
        <v>0</v>
      </c>
      <c r="L43" s="1449">
        <f t="shared" si="15"/>
        <v>0</v>
      </c>
      <c r="M43" s="1449">
        <f t="shared" si="15"/>
        <v>0</v>
      </c>
      <c r="N43" s="1449">
        <f t="shared" si="15"/>
        <v>0</v>
      </c>
      <c r="O43" s="1449">
        <f t="shared" si="15"/>
        <v>0</v>
      </c>
      <c r="P43" s="1449">
        <f t="shared" si="15"/>
        <v>0</v>
      </c>
      <c r="Q43" s="1449">
        <f t="shared" si="15"/>
        <v>0</v>
      </c>
      <c r="R43" s="1449">
        <f t="shared" si="15"/>
        <v>0</v>
      </c>
      <c r="S43" s="1449">
        <f t="shared" si="15"/>
        <v>0</v>
      </c>
      <c r="T43" s="1449">
        <f t="shared" si="15"/>
        <v>0</v>
      </c>
      <c r="U43" s="1449">
        <f t="shared" si="15"/>
        <v>0</v>
      </c>
      <c r="V43" s="1449">
        <f t="shared" si="15"/>
        <v>0</v>
      </c>
      <c r="W43" s="1449">
        <f t="shared" si="15"/>
        <v>0</v>
      </c>
      <c r="X43" s="1449">
        <f t="shared" si="15"/>
        <v>0</v>
      </c>
      <c r="Y43" s="1449">
        <f t="shared" si="15"/>
        <v>0</v>
      </c>
      <c r="Z43" s="1449">
        <f t="shared" si="15"/>
        <v>0</v>
      </c>
      <c r="AA43" s="1449">
        <f t="shared" si="15"/>
        <v>0</v>
      </c>
      <c r="AB43" s="1521"/>
      <c r="AC43" s="1521"/>
      <c r="AD43" s="1411"/>
      <c r="AF43" s="1200" t="s">
        <v>1212</v>
      </c>
      <c r="AG43" s="1201"/>
      <c r="AH43" s="1403">
        <f>AF94</f>
        <v>0</v>
      </c>
    </row>
    <row r="44" spans="1:34" ht="24" customHeight="1">
      <c r="A44" s="2818" t="s">
        <v>1097</v>
      </c>
      <c r="B44" s="2819"/>
      <c r="C44" s="1449">
        <f t="shared" ref="C44:AA44" si="16">C23+C37+C42+C43+(C41*40/12*19*C16)+IF(C13="JA",(C23+C37)*0.8%)</f>
        <v>0</v>
      </c>
      <c r="D44" s="1449">
        <f t="shared" si="16"/>
        <v>0</v>
      </c>
      <c r="E44" s="1449" t="e" vm="1">
        <f t="shared" si="16"/>
        <v>#VALUE!</v>
      </c>
      <c r="F44" s="1449">
        <f t="shared" si="16"/>
        <v>0</v>
      </c>
      <c r="G44" s="1449">
        <f t="shared" si="16"/>
        <v>0</v>
      </c>
      <c r="H44" s="1449">
        <f t="shared" si="16"/>
        <v>0</v>
      </c>
      <c r="I44" s="1449">
        <f t="shared" si="16"/>
        <v>0</v>
      </c>
      <c r="J44" s="1449">
        <f t="shared" si="16"/>
        <v>0</v>
      </c>
      <c r="K44" s="1449">
        <f t="shared" si="16"/>
        <v>0</v>
      </c>
      <c r="L44" s="1449">
        <f t="shared" si="16"/>
        <v>0</v>
      </c>
      <c r="M44" s="1449">
        <f t="shared" si="16"/>
        <v>0</v>
      </c>
      <c r="N44" s="1449">
        <f t="shared" si="16"/>
        <v>0</v>
      </c>
      <c r="O44" s="1449">
        <f t="shared" si="16"/>
        <v>0</v>
      </c>
      <c r="P44" s="1449">
        <f t="shared" si="16"/>
        <v>0</v>
      </c>
      <c r="Q44" s="1449">
        <f t="shared" si="16"/>
        <v>0</v>
      </c>
      <c r="R44" s="1449">
        <f t="shared" si="16"/>
        <v>0</v>
      </c>
      <c r="S44" s="1449">
        <f t="shared" si="16"/>
        <v>0</v>
      </c>
      <c r="T44" s="1449">
        <f t="shared" si="16"/>
        <v>0</v>
      </c>
      <c r="U44" s="1449">
        <f t="shared" si="16"/>
        <v>0</v>
      </c>
      <c r="V44" s="1449">
        <f t="shared" si="16"/>
        <v>0</v>
      </c>
      <c r="W44" s="1449">
        <f t="shared" si="16"/>
        <v>0</v>
      </c>
      <c r="X44" s="1449">
        <f t="shared" si="16"/>
        <v>0</v>
      </c>
      <c r="Y44" s="1449">
        <f t="shared" si="16"/>
        <v>0</v>
      </c>
      <c r="Z44" s="1449">
        <f t="shared" si="16"/>
        <v>0</v>
      </c>
      <c r="AA44" s="1449">
        <f t="shared" si="16"/>
        <v>0</v>
      </c>
      <c r="AB44" s="1449">
        <f>AB23+AB37+AB42+AB43+AB41</f>
        <v>0</v>
      </c>
      <c r="AC44" s="1449">
        <f>AC23+AC37+AC42+AC43+AC41</f>
        <v>0</v>
      </c>
      <c r="AD44" s="1411"/>
      <c r="AF44" s="2836" t="s">
        <v>1210</v>
      </c>
      <c r="AG44" s="2837"/>
      <c r="AH44" s="1402" t="e" vm="1">
        <f>SUM(AH5:AH11)+SUM(AH16:AH28)+SUM(AH30:AH40)+AH42+AH43</f>
        <v>#VALUE!</v>
      </c>
    </row>
    <row r="45" spans="1:34" ht="24" customHeight="1">
      <c r="A45" s="2818" t="s">
        <v>1098</v>
      </c>
      <c r="B45" s="2819"/>
      <c r="C45" s="1449">
        <f>C23+((C26+C25+C27+C28)*C16/12)+((C29+C30+C31+C32+C33)*C16*C18/12)+C24+C35+C36+IF(C13="JA",(C23+C37)*0.8%)</f>
        <v>0</v>
      </c>
      <c r="D45" s="1449">
        <f>D23+((D26+D25+D27+D28)*D16/12)+((D29+D30+D31+D32+D33)*D16*D18/12)+D24+D35+D36+IF(D13="JA",(D23+D37)*0.8%)</f>
        <v>0</v>
      </c>
      <c r="E45" s="1449" t="e" vm="1">
        <f t="shared" ref="E45:AA45" si="17">E23-(E22*E18)+((E26+E25+E27+E28)*E16/12)+((E29+E30+E33)*E16*E18/12)+IF(E39="JA",E31*E16/12)+IF(E40="JA",E32*E16*E18/12)+E24+E35+E36+IF(E13="Ja",(E23+E37)*0.8%)</f>
        <v>#VALUE!</v>
      </c>
      <c r="F45" s="1449">
        <f t="shared" si="17"/>
        <v>0</v>
      </c>
      <c r="G45" s="1449">
        <f t="shared" si="17"/>
        <v>0</v>
      </c>
      <c r="H45" s="1449">
        <f t="shared" si="17"/>
        <v>0</v>
      </c>
      <c r="I45" s="1449">
        <f t="shared" si="17"/>
        <v>0</v>
      </c>
      <c r="J45" s="1449">
        <f t="shared" si="17"/>
        <v>0</v>
      </c>
      <c r="K45" s="1449">
        <f t="shared" si="17"/>
        <v>0</v>
      </c>
      <c r="L45" s="1449">
        <f t="shared" si="17"/>
        <v>0</v>
      </c>
      <c r="M45" s="1449">
        <f t="shared" si="17"/>
        <v>0</v>
      </c>
      <c r="N45" s="1449">
        <f t="shared" si="17"/>
        <v>0</v>
      </c>
      <c r="O45" s="1449">
        <f t="shared" si="17"/>
        <v>0</v>
      </c>
      <c r="P45" s="1449">
        <f t="shared" si="17"/>
        <v>0</v>
      </c>
      <c r="Q45" s="1449">
        <f t="shared" si="17"/>
        <v>0</v>
      </c>
      <c r="R45" s="1449">
        <f t="shared" si="17"/>
        <v>0</v>
      </c>
      <c r="S45" s="1449">
        <f t="shared" si="17"/>
        <v>0</v>
      </c>
      <c r="T45" s="1449">
        <f t="shared" si="17"/>
        <v>0</v>
      </c>
      <c r="U45" s="1449">
        <f t="shared" si="17"/>
        <v>0</v>
      </c>
      <c r="V45" s="1449">
        <f t="shared" si="17"/>
        <v>0</v>
      </c>
      <c r="W45" s="1449">
        <f t="shared" si="17"/>
        <v>0</v>
      </c>
      <c r="X45" s="1449">
        <f t="shared" si="17"/>
        <v>0</v>
      </c>
      <c r="Y45" s="1449">
        <f t="shared" si="17"/>
        <v>0</v>
      </c>
      <c r="Z45" s="1449">
        <f t="shared" si="17"/>
        <v>0</v>
      </c>
      <c r="AA45" s="1449">
        <f t="shared" si="17"/>
        <v>0</v>
      </c>
      <c r="AB45" s="1449">
        <f>(AB26+AB27+AB28+AB29+AB30+AB32+AB42)*AB16/1924*AB5+AB23</f>
        <v>0</v>
      </c>
      <c r="AC45" s="1449">
        <f>(AC26+AC27+AC28+AC29+AC30+AC32+AC42)*AC16/1924*AC5+AC23</f>
        <v>0</v>
      </c>
      <c r="AD45" s="1411"/>
      <c r="AF45" s="2838" t="s">
        <v>1211</v>
      </c>
      <c r="AG45" s="2839"/>
      <c r="AH45" s="1195" t="e" vm="1">
        <f>AD67-AH44+AH43</f>
        <v>#VALUE!</v>
      </c>
    </row>
    <row r="46" spans="1:34" ht="24" customHeight="1">
      <c r="A46" s="2816" t="s">
        <v>1337</v>
      </c>
      <c r="B46" s="2817"/>
      <c r="C46" s="1551" t="str">
        <f>IF(C12="Ja",C23/C18*C19+((C26+C27+C28+C31)*C16/12)+((C29+C32+C30)*C16*C19/12),"0,00")</f>
        <v>0,00</v>
      </c>
      <c r="D46" s="1551" t="str">
        <f>IF(D12="Ja",D23/D18*D19+((D26+D27+D28+D31)*D16/12)+((D29+D32+D30)*D16*D19/12),"0,00")</f>
        <v>0,00</v>
      </c>
      <c r="E46" s="1551" t="str">
        <f t="shared" ref="E46:AA46" si="18">IF(E12="Ja",E21*E19+((E26+E25+E27+E28)*E16/12)+((E29+E30+E33)*E16*E19/12)+IF(E39="JA",E31*E16/12)+IF(E40="JA",E32*E16*E19/12)+(E24+E35+E36)/E18*E19,"0,00")</f>
        <v>0,00</v>
      </c>
      <c r="F46" s="1551" t="str">
        <f t="shared" si="18"/>
        <v>0,00</v>
      </c>
      <c r="G46" s="1551" t="str">
        <f t="shared" si="18"/>
        <v>0,00</v>
      </c>
      <c r="H46" s="1551" t="str">
        <f t="shared" si="18"/>
        <v>0,00</v>
      </c>
      <c r="I46" s="1551" t="str">
        <f t="shared" si="18"/>
        <v>0,00</v>
      </c>
      <c r="J46" s="1551" t="str">
        <f t="shared" si="18"/>
        <v>0,00</v>
      </c>
      <c r="K46" s="1551" t="str">
        <f t="shared" si="18"/>
        <v>0,00</v>
      </c>
      <c r="L46" s="1551" t="str">
        <f t="shared" si="18"/>
        <v>0,00</v>
      </c>
      <c r="M46" s="1551" t="str">
        <f t="shared" si="18"/>
        <v>0,00</v>
      </c>
      <c r="N46" s="1551" t="str">
        <f t="shared" si="18"/>
        <v>0,00</v>
      </c>
      <c r="O46" s="1551" t="str">
        <f t="shared" si="18"/>
        <v>0,00</v>
      </c>
      <c r="P46" s="1551" t="str">
        <f t="shared" si="18"/>
        <v>0,00</v>
      </c>
      <c r="Q46" s="1551" t="str">
        <f t="shared" si="18"/>
        <v>0,00</v>
      </c>
      <c r="R46" s="1551" t="str">
        <f t="shared" si="18"/>
        <v>0,00</v>
      </c>
      <c r="S46" s="1551" t="str">
        <f t="shared" si="18"/>
        <v>0,00</v>
      </c>
      <c r="T46" s="1551" t="str">
        <f t="shared" si="18"/>
        <v>0,00</v>
      </c>
      <c r="U46" s="1551" t="str">
        <f t="shared" si="18"/>
        <v>0,00</v>
      </c>
      <c r="V46" s="1551" t="str">
        <f t="shared" si="18"/>
        <v>0,00</v>
      </c>
      <c r="W46" s="1551" t="str">
        <f t="shared" si="18"/>
        <v>0,00</v>
      </c>
      <c r="X46" s="1551" t="str">
        <f t="shared" si="18"/>
        <v>0,00</v>
      </c>
      <c r="Y46" s="1551" t="str">
        <f t="shared" si="18"/>
        <v>0,00</v>
      </c>
      <c r="Z46" s="1551" t="str">
        <f t="shared" si="18"/>
        <v>0,00</v>
      </c>
      <c r="AA46" s="1551" t="str">
        <f t="shared" si="18"/>
        <v>0,00</v>
      </c>
      <c r="AB46" s="1550"/>
      <c r="AC46" s="1550"/>
      <c r="AD46" s="1411"/>
    </row>
    <row r="47" spans="1:34" ht="24" customHeight="1">
      <c r="A47" s="2818" t="s">
        <v>1099</v>
      </c>
      <c r="B47" s="2819"/>
      <c r="C47" s="1449">
        <f>IF(C23&gt;0,IF(LEFT(C15)="L",C45*17.3%/3,(C45-VLOOKUP(RIGHT(C15,2)*1,skalalontabel,7,FALSE)/12*C16*C18)*18%/3),0)</f>
        <v>0</v>
      </c>
      <c r="D47" s="1449">
        <f>IF(D23&gt;0,IF(LEFT(D15)="L",D45*17.3%/3,(D45-VLOOKUP(RIGHT(D15,2)*1,skalalontabel,7,FALSE)/12*D16*D18)*18%/3),0)</f>
        <v>0</v>
      </c>
      <c r="E47" s="1449" t="e" vm="1">
        <f t="shared" ref="E47:AA47" si="19">IF(E23&gt;0,IF(LEFT(E15)="L",E45*17.3%/3,(E45-(E21*E18)-(E24/E18))*18%/3),0)</f>
        <v>#VALUE!</v>
      </c>
      <c r="F47" s="1449">
        <f t="shared" si="19"/>
        <v>0</v>
      </c>
      <c r="G47" s="1449">
        <f t="shared" si="19"/>
        <v>0</v>
      </c>
      <c r="H47" s="1449">
        <f t="shared" si="19"/>
        <v>0</v>
      </c>
      <c r="I47" s="1449">
        <f t="shared" si="19"/>
        <v>0</v>
      </c>
      <c r="J47" s="1449">
        <f t="shared" si="19"/>
        <v>0</v>
      </c>
      <c r="K47" s="1449">
        <f t="shared" si="19"/>
        <v>0</v>
      </c>
      <c r="L47" s="1449">
        <f t="shared" si="19"/>
        <v>0</v>
      </c>
      <c r="M47" s="1449">
        <f t="shared" si="19"/>
        <v>0</v>
      </c>
      <c r="N47" s="1449">
        <f t="shared" si="19"/>
        <v>0</v>
      </c>
      <c r="O47" s="1449">
        <f t="shared" si="19"/>
        <v>0</v>
      </c>
      <c r="P47" s="1449">
        <f t="shared" si="19"/>
        <v>0</v>
      </c>
      <c r="Q47" s="1449">
        <f t="shared" si="19"/>
        <v>0</v>
      </c>
      <c r="R47" s="1449">
        <f t="shared" si="19"/>
        <v>0</v>
      </c>
      <c r="S47" s="1449">
        <f t="shared" si="19"/>
        <v>0</v>
      </c>
      <c r="T47" s="1449">
        <f t="shared" si="19"/>
        <v>0</v>
      </c>
      <c r="U47" s="1449">
        <f t="shared" si="19"/>
        <v>0</v>
      </c>
      <c r="V47" s="1449">
        <f t="shared" si="19"/>
        <v>0</v>
      </c>
      <c r="W47" s="1449">
        <f t="shared" si="19"/>
        <v>0</v>
      </c>
      <c r="X47" s="1449">
        <f t="shared" si="19"/>
        <v>0</v>
      </c>
      <c r="Y47" s="1449">
        <f t="shared" si="19"/>
        <v>0</v>
      </c>
      <c r="Z47" s="1449">
        <f t="shared" si="19"/>
        <v>0</v>
      </c>
      <c r="AA47" s="1449">
        <f t="shared" si="19"/>
        <v>0</v>
      </c>
      <c r="AB47" s="1449">
        <f>IF(AB$15="L",AB$45*17.3%/3,0)</f>
        <v>0</v>
      </c>
      <c r="AC47" s="1449">
        <f>IF(AC$15="L",AC$45*17.3%/3,0)</f>
        <v>0</v>
      </c>
      <c r="AD47" s="1411" t="s">
        <v>323</v>
      </c>
    </row>
    <row r="48" spans="1:34" ht="24" customHeight="1">
      <c r="A48" s="2816" t="s">
        <v>1336</v>
      </c>
      <c r="B48" s="2817"/>
      <c r="C48" s="1449">
        <f>IF(C19&gt;0,IF(LEFT(C15)="L",C46*17.3%/3-C47,(C46-VLOOKUP(RIGHT(C15,2)*1,skalalontabel,7,FALSE)/12*C16)*18%/3-C47),0)</f>
        <v>0</v>
      </c>
      <c r="D48" s="1449">
        <f>IF(D19&gt;0,IF(LEFT(D15)="L",D46*17.3%/3-D47,(D46-VLOOKUP(RIGHT(D15,2)*1,skalalontabel,7,FALSE)/12*D16)*18%/3-D47),0)</f>
        <v>0</v>
      </c>
      <c r="E48" s="1449">
        <f t="shared" ref="E48:AA48" si="20">IF(E12="Ja",IF(LEFT(E15)="L",E46*17.3%/3-E47,(E46-(E21*E19)-(E24/E18))*18%/3-E47),0)</f>
        <v>0</v>
      </c>
      <c r="F48" s="1449">
        <f t="shared" si="20"/>
        <v>0</v>
      </c>
      <c r="G48" s="1449">
        <f t="shared" si="20"/>
        <v>0</v>
      </c>
      <c r="H48" s="1449">
        <f t="shared" si="20"/>
        <v>0</v>
      </c>
      <c r="I48" s="1449">
        <f t="shared" si="20"/>
        <v>0</v>
      </c>
      <c r="J48" s="1449">
        <f t="shared" si="20"/>
        <v>0</v>
      </c>
      <c r="K48" s="1449">
        <f t="shared" si="20"/>
        <v>0</v>
      </c>
      <c r="L48" s="1449">
        <f t="shared" si="20"/>
        <v>0</v>
      </c>
      <c r="M48" s="1449">
        <f t="shared" si="20"/>
        <v>0</v>
      </c>
      <c r="N48" s="1449">
        <f t="shared" si="20"/>
        <v>0</v>
      </c>
      <c r="O48" s="1449">
        <f t="shared" si="20"/>
        <v>0</v>
      </c>
      <c r="P48" s="1449">
        <f t="shared" si="20"/>
        <v>0</v>
      </c>
      <c r="Q48" s="1449">
        <f t="shared" si="20"/>
        <v>0</v>
      </c>
      <c r="R48" s="1449">
        <f t="shared" si="20"/>
        <v>0</v>
      </c>
      <c r="S48" s="1449">
        <f t="shared" si="20"/>
        <v>0</v>
      </c>
      <c r="T48" s="1449">
        <f t="shared" si="20"/>
        <v>0</v>
      </c>
      <c r="U48" s="1449">
        <f t="shared" si="20"/>
        <v>0</v>
      </c>
      <c r="V48" s="1449">
        <f t="shared" si="20"/>
        <v>0</v>
      </c>
      <c r="W48" s="1449">
        <f t="shared" si="20"/>
        <v>0</v>
      </c>
      <c r="X48" s="1449">
        <f t="shared" si="20"/>
        <v>0</v>
      </c>
      <c r="Y48" s="1449">
        <f t="shared" si="20"/>
        <v>0</v>
      </c>
      <c r="Z48" s="1449">
        <f t="shared" si="20"/>
        <v>0</v>
      </c>
      <c r="AA48" s="1449">
        <f t="shared" si="20"/>
        <v>0</v>
      </c>
      <c r="AB48" s="1550"/>
      <c r="AC48" s="1550"/>
      <c r="AD48" s="1411"/>
    </row>
    <row r="49" spans="1:34" ht="24" customHeight="1">
      <c r="A49" s="2818" t="s">
        <v>1100</v>
      </c>
      <c r="B49" s="2819"/>
      <c r="C49" s="1449">
        <f>SUM(C44,C47+C48)</f>
        <v>0</v>
      </c>
      <c r="D49" s="1449">
        <f>SUM(D44,D47+D48)</f>
        <v>0</v>
      </c>
      <c r="E49" s="1449" t="e" vm="1">
        <f t="shared" ref="E49" si="21">SUM(E44,E47+E48)</f>
        <v>#VALUE!</v>
      </c>
      <c r="F49" s="1449">
        <f t="shared" ref="F49:G49" si="22">SUM(F44,F47+F48)</f>
        <v>0</v>
      </c>
      <c r="G49" s="1449">
        <f t="shared" si="22"/>
        <v>0</v>
      </c>
      <c r="H49" s="1449">
        <f t="shared" ref="H49:I49" si="23">SUM(H44,H47+H48)</f>
        <v>0</v>
      </c>
      <c r="I49" s="1449">
        <f t="shared" si="23"/>
        <v>0</v>
      </c>
      <c r="J49" s="1449">
        <f t="shared" ref="J49:AA49" si="24">SUM(J44,J47+J48)</f>
        <v>0</v>
      </c>
      <c r="K49" s="1449">
        <f t="shared" si="24"/>
        <v>0</v>
      </c>
      <c r="L49" s="1449">
        <f t="shared" ref="L49:O49" si="25">SUM(L44,L47+L48)</f>
        <v>0</v>
      </c>
      <c r="M49" s="1449">
        <f t="shared" si="25"/>
        <v>0</v>
      </c>
      <c r="N49" s="1449">
        <f t="shared" si="25"/>
        <v>0</v>
      </c>
      <c r="O49" s="1449">
        <f t="shared" si="25"/>
        <v>0</v>
      </c>
      <c r="P49" s="1449">
        <f t="shared" si="24"/>
        <v>0</v>
      </c>
      <c r="Q49" s="1449">
        <f t="shared" si="24"/>
        <v>0</v>
      </c>
      <c r="R49" s="1449">
        <f t="shared" si="24"/>
        <v>0</v>
      </c>
      <c r="S49" s="1449">
        <f t="shared" ref="S49:U49" si="26">SUM(S44,S47+S48)</f>
        <v>0</v>
      </c>
      <c r="T49" s="1449">
        <f t="shared" si="26"/>
        <v>0</v>
      </c>
      <c r="U49" s="1449">
        <f t="shared" si="26"/>
        <v>0</v>
      </c>
      <c r="V49" s="1449">
        <f t="shared" si="24"/>
        <v>0</v>
      </c>
      <c r="W49" s="1449">
        <f t="shared" si="24"/>
        <v>0</v>
      </c>
      <c r="X49" s="1449">
        <f t="shared" si="24"/>
        <v>0</v>
      </c>
      <c r="Y49" s="1449">
        <f t="shared" ref="Y49:Z49" si="27">SUM(Y44,Y47+Y48)</f>
        <v>0</v>
      </c>
      <c r="Z49" s="1449">
        <f t="shared" si="27"/>
        <v>0</v>
      </c>
      <c r="AA49" s="1449">
        <f t="shared" si="24"/>
        <v>0</v>
      </c>
      <c r="AB49" s="1449">
        <f t="shared" ref="AB49" si="28">SUM(AB44,AB47)</f>
        <v>0</v>
      </c>
      <c r="AC49" s="1449">
        <f>SUM(AC44,AC47)</f>
        <v>0</v>
      </c>
      <c r="AD49" s="1411"/>
    </row>
    <row r="50" spans="1:34" ht="24" customHeight="1">
      <c r="A50" s="2818" t="s">
        <v>1330</v>
      </c>
      <c r="B50" s="2819"/>
      <c r="C50" s="1449">
        <f t="shared" ref="C50:AC50" si="29">IF(OR(LEFT(C15)="P",LEFT(C15)="E"),VLOOKUP(VALUE(MID(C15,2,2)),skalalontabel,7,0)*C16/12*15%*MIN(1,C18),0)</f>
        <v>0</v>
      </c>
      <c r="D50" s="1449">
        <f t="shared" si="29"/>
        <v>0</v>
      </c>
      <c r="E50" s="1449">
        <f t="shared" si="29"/>
        <v>0</v>
      </c>
      <c r="F50" s="1449">
        <f t="shared" si="29"/>
        <v>0</v>
      </c>
      <c r="G50" s="1449">
        <f t="shared" si="29"/>
        <v>0</v>
      </c>
      <c r="H50" s="1449">
        <f t="shared" si="29"/>
        <v>0</v>
      </c>
      <c r="I50" s="1449">
        <f t="shared" si="29"/>
        <v>0</v>
      </c>
      <c r="J50" s="1449">
        <f t="shared" si="29"/>
        <v>0</v>
      </c>
      <c r="K50" s="1449">
        <f t="shared" si="29"/>
        <v>0</v>
      </c>
      <c r="L50" s="1449">
        <f t="shared" si="29"/>
        <v>0</v>
      </c>
      <c r="M50" s="1449">
        <f t="shared" si="29"/>
        <v>0</v>
      </c>
      <c r="N50" s="1449">
        <f t="shared" si="29"/>
        <v>0</v>
      </c>
      <c r="O50" s="1449">
        <f t="shared" si="29"/>
        <v>0</v>
      </c>
      <c r="P50" s="1449">
        <f t="shared" si="29"/>
        <v>0</v>
      </c>
      <c r="Q50" s="1449">
        <f t="shared" si="29"/>
        <v>0</v>
      </c>
      <c r="R50" s="1449">
        <f t="shared" si="29"/>
        <v>0</v>
      </c>
      <c r="S50" s="1449">
        <f t="shared" si="29"/>
        <v>0</v>
      </c>
      <c r="T50" s="1449">
        <f t="shared" si="29"/>
        <v>0</v>
      </c>
      <c r="U50" s="1449">
        <f t="shared" si="29"/>
        <v>0</v>
      </c>
      <c r="V50" s="1449">
        <f t="shared" si="29"/>
        <v>0</v>
      </c>
      <c r="W50" s="1449">
        <f t="shared" si="29"/>
        <v>0</v>
      </c>
      <c r="X50" s="1449">
        <f t="shared" si="29"/>
        <v>0</v>
      </c>
      <c r="Y50" s="1449">
        <f t="shared" si="29"/>
        <v>0</v>
      </c>
      <c r="Z50" s="1449">
        <f t="shared" si="29"/>
        <v>0</v>
      </c>
      <c r="AA50" s="1449">
        <f t="shared" si="29"/>
        <v>0</v>
      </c>
      <c r="AB50" s="1449">
        <f t="shared" si="29"/>
        <v>0</v>
      </c>
      <c r="AC50" s="1449">
        <f t="shared" si="29"/>
        <v>0</v>
      </c>
      <c r="AD50" s="1411" t="s">
        <v>324</v>
      </c>
    </row>
    <row r="51" spans="1:34" ht="24" customHeight="1">
      <c r="A51" s="2816" t="s">
        <v>1338</v>
      </c>
      <c r="B51" s="2817"/>
      <c r="C51" s="1551" t="str">
        <f t="shared" ref="C51:AC51" si="30">IF(C12="Ja",C50/C18*C19-C50,"0,00")</f>
        <v>0,00</v>
      </c>
      <c r="D51" s="1551" t="str">
        <f t="shared" si="30"/>
        <v>0,00</v>
      </c>
      <c r="E51" s="1551" t="str">
        <f t="shared" si="30"/>
        <v>0,00</v>
      </c>
      <c r="F51" s="1551" t="str">
        <f t="shared" si="30"/>
        <v>0,00</v>
      </c>
      <c r="G51" s="1551" t="str">
        <f t="shared" si="30"/>
        <v>0,00</v>
      </c>
      <c r="H51" s="1551" t="str">
        <f t="shared" si="30"/>
        <v>0,00</v>
      </c>
      <c r="I51" s="1551" t="str">
        <f t="shared" si="30"/>
        <v>0,00</v>
      </c>
      <c r="J51" s="1551" t="str">
        <f t="shared" si="30"/>
        <v>0,00</v>
      </c>
      <c r="K51" s="1551" t="str">
        <f t="shared" si="30"/>
        <v>0,00</v>
      </c>
      <c r="L51" s="1551" t="str">
        <f t="shared" si="30"/>
        <v>0,00</v>
      </c>
      <c r="M51" s="1551" t="str">
        <f t="shared" si="30"/>
        <v>0,00</v>
      </c>
      <c r="N51" s="1551" t="str">
        <f t="shared" si="30"/>
        <v>0,00</v>
      </c>
      <c r="O51" s="1551" t="str">
        <f t="shared" si="30"/>
        <v>0,00</v>
      </c>
      <c r="P51" s="1551" t="str">
        <f t="shared" si="30"/>
        <v>0,00</v>
      </c>
      <c r="Q51" s="1551" t="str">
        <f t="shared" si="30"/>
        <v>0,00</v>
      </c>
      <c r="R51" s="1551" t="str">
        <f t="shared" si="30"/>
        <v>0,00</v>
      </c>
      <c r="S51" s="1551" t="str">
        <f t="shared" si="30"/>
        <v>0,00</v>
      </c>
      <c r="T51" s="1551" t="str">
        <f t="shared" si="30"/>
        <v>0,00</v>
      </c>
      <c r="U51" s="1551" t="str">
        <f t="shared" si="30"/>
        <v>0,00</v>
      </c>
      <c r="V51" s="1551" t="str">
        <f t="shared" si="30"/>
        <v>0,00</v>
      </c>
      <c r="W51" s="1551" t="str">
        <f t="shared" si="30"/>
        <v>0,00</v>
      </c>
      <c r="X51" s="1551" t="str">
        <f t="shared" si="30"/>
        <v>0,00</v>
      </c>
      <c r="Y51" s="1551" t="str">
        <f t="shared" si="30"/>
        <v>0,00</v>
      </c>
      <c r="Z51" s="1551" t="str">
        <f t="shared" si="30"/>
        <v>0,00</v>
      </c>
      <c r="AA51" s="1551" t="str">
        <f t="shared" si="30"/>
        <v>0,00</v>
      </c>
      <c r="AB51" s="1551" t="str">
        <f t="shared" si="30"/>
        <v>0,00</v>
      </c>
      <c r="AC51" s="1551" t="str">
        <f t="shared" si="30"/>
        <v>0,00</v>
      </c>
      <c r="AD51" s="1411"/>
    </row>
    <row r="52" spans="1:34" ht="24" customHeight="1">
      <c r="A52" s="2818" t="s">
        <v>1101</v>
      </c>
      <c r="B52" s="2819"/>
      <c r="C52" s="1449">
        <f>(C47+C48)*3</f>
        <v>0</v>
      </c>
      <c r="D52" s="1449">
        <f>(D47+D48)*3</f>
        <v>0</v>
      </c>
      <c r="E52" s="1449" t="e" vm="1">
        <f t="shared" ref="E52" si="31">(E47+E48)*3</f>
        <v>#VALUE!</v>
      </c>
      <c r="F52" s="1449">
        <f t="shared" ref="F52:G52" si="32">(F47+F48)*3</f>
        <v>0</v>
      </c>
      <c r="G52" s="1449">
        <f t="shared" si="32"/>
        <v>0</v>
      </c>
      <c r="H52" s="1449">
        <f t="shared" ref="H52:I52" si="33">(H47+H48)*3</f>
        <v>0</v>
      </c>
      <c r="I52" s="1449">
        <f t="shared" si="33"/>
        <v>0</v>
      </c>
      <c r="J52" s="1449">
        <f t="shared" ref="J52:AA52" si="34">(J47+J48)*3</f>
        <v>0</v>
      </c>
      <c r="K52" s="1449">
        <f t="shared" si="34"/>
        <v>0</v>
      </c>
      <c r="L52" s="1449">
        <f t="shared" ref="L52:O52" si="35">(L47+L48)*3</f>
        <v>0</v>
      </c>
      <c r="M52" s="1449">
        <f t="shared" si="35"/>
        <v>0</v>
      </c>
      <c r="N52" s="1449">
        <f t="shared" si="35"/>
        <v>0</v>
      </c>
      <c r="O52" s="1449">
        <f t="shared" si="35"/>
        <v>0</v>
      </c>
      <c r="P52" s="1449">
        <f t="shared" si="34"/>
        <v>0</v>
      </c>
      <c r="Q52" s="1449">
        <f t="shared" si="34"/>
        <v>0</v>
      </c>
      <c r="R52" s="1449">
        <f t="shared" si="34"/>
        <v>0</v>
      </c>
      <c r="S52" s="1449">
        <f t="shared" ref="S52:U52" si="36">(S47+S48)*3</f>
        <v>0</v>
      </c>
      <c r="T52" s="1449">
        <f t="shared" si="36"/>
        <v>0</v>
      </c>
      <c r="U52" s="1449">
        <f t="shared" si="36"/>
        <v>0</v>
      </c>
      <c r="V52" s="1449">
        <f t="shared" si="34"/>
        <v>0</v>
      </c>
      <c r="W52" s="1449">
        <f t="shared" si="34"/>
        <v>0</v>
      </c>
      <c r="X52" s="1449">
        <f t="shared" si="34"/>
        <v>0</v>
      </c>
      <c r="Y52" s="1449">
        <f t="shared" ref="Y52:Z52" si="37">(Y47+Y48)*3</f>
        <v>0</v>
      </c>
      <c r="Z52" s="1449">
        <f t="shared" si="37"/>
        <v>0</v>
      </c>
      <c r="AA52" s="1449">
        <f t="shared" si="34"/>
        <v>0</v>
      </c>
      <c r="AB52" s="1449">
        <f>AB47*3</f>
        <v>0</v>
      </c>
      <c r="AC52" s="1449">
        <f>AC47*3</f>
        <v>0</v>
      </c>
      <c r="AD52" s="1411"/>
    </row>
    <row r="53" spans="1:34" ht="24" customHeight="1" thickBot="1">
      <c r="A53" s="2842" t="s">
        <v>325</v>
      </c>
      <c r="B53" s="2843"/>
      <c r="C53" s="1450">
        <f t="shared" ref="C53:AA53" si="38">ATP/3*((C18&gt;=9/37)+(C18&gt;=18/37)+(C18&gt;=27/37))</f>
        <v>0</v>
      </c>
      <c r="D53" s="1450">
        <f t="shared" si="38"/>
        <v>0</v>
      </c>
      <c r="E53" s="1450">
        <f t="shared" si="38"/>
        <v>297</v>
      </c>
      <c r="F53" s="1450">
        <f t="shared" si="38"/>
        <v>0</v>
      </c>
      <c r="G53" s="1450">
        <f t="shared" si="38"/>
        <v>0</v>
      </c>
      <c r="H53" s="1450">
        <f t="shared" si="38"/>
        <v>0</v>
      </c>
      <c r="I53" s="1450">
        <f t="shared" si="38"/>
        <v>0</v>
      </c>
      <c r="J53" s="1450">
        <f t="shared" si="38"/>
        <v>0</v>
      </c>
      <c r="K53" s="1450">
        <f t="shared" si="38"/>
        <v>0</v>
      </c>
      <c r="L53" s="1450">
        <f t="shared" si="38"/>
        <v>0</v>
      </c>
      <c r="M53" s="1450">
        <f t="shared" si="38"/>
        <v>0</v>
      </c>
      <c r="N53" s="1450">
        <f t="shared" si="38"/>
        <v>0</v>
      </c>
      <c r="O53" s="1450">
        <f t="shared" si="38"/>
        <v>0</v>
      </c>
      <c r="P53" s="1450">
        <f t="shared" si="38"/>
        <v>0</v>
      </c>
      <c r="Q53" s="1450">
        <f t="shared" si="38"/>
        <v>0</v>
      </c>
      <c r="R53" s="1450">
        <f t="shared" si="38"/>
        <v>0</v>
      </c>
      <c r="S53" s="1450">
        <f t="shared" si="38"/>
        <v>0</v>
      </c>
      <c r="T53" s="1450">
        <f t="shared" si="38"/>
        <v>0</v>
      </c>
      <c r="U53" s="1450">
        <f t="shared" si="38"/>
        <v>0</v>
      </c>
      <c r="V53" s="1450">
        <f t="shared" si="38"/>
        <v>0</v>
      </c>
      <c r="W53" s="1450">
        <f t="shared" si="38"/>
        <v>0</v>
      </c>
      <c r="X53" s="1450">
        <f t="shared" si="38"/>
        <v>0</v>
      </c>
      <c r="Y53" s="1450">
        <f t="shared" si="38"/>
        <v>0</v>
      </c>
      <c r="Z53" s="1450">
        <f t="shared" si="38"/>
        <v>0</v>
      </c>
      <c r="AA53" s="1450">
        <f t="shared" si="38"/>
        <v>0</v>
      </c>
      <c r="AB53" s="1450">
        <f>SatsBilag!B14*'lon undervisning'!AB5</f>
        <v>0</v>
      </c>
      <c r="AC53" s="1450">
        <f>SatsBilag!C14*'lon undervisning'!AC5</f>
        <v>0</v>
      </c>
      <c r="AD53" s="1411" t="s">
        <v>574</v>
      </c>
    </row>
    <row r="54" spans="1:34" ht="24" customHeight="1" thickBot="1">
      <c r="A54" s="2842" t="s">
        <v>342</v>
      </c>
      <c r="B54" s="2843"/>
      <c r="C54" s="1523">
        <f>SUM(C44+C52+C50+C51)+C53*2/3</f>
        <v>0</v>
      </c>
      <c r="D54" s="1523">
        <f>SUM(D44+D52+D50+D51)+D53*2/3</f>
        <v>0</v>
      </c>
      <c r="E54" s="1523" t="e" vm="1">
        <f>SUM(E49:E52)-E47-E48+E53*2/3</f>
        <v>#VALUE!</v>
      </c>
      <c r="F54" s="1523">
        <f t="shared" ref="F54:AC54" si="39">SUM(F49:F52)-F47-F48+F53*2/3</f>
        <v>0</v>
      </c>
      <c r="G54" s="1523">
        <f t="shared" si="39"/>
        <v>0</v>
      </c>
      <c r="H54" s="1523">
        <f t="shared" si="39"/>
        <v>0</v>
      </c>
      <c r="I54" s="1523">
        <f t="shared" si="39"/>
        <v>0</v>
      </c>
      <c r="J54" s="1523">
        <f t="shared" si="39"/>
        <v>0</v>
      </c>
      <c r="K54" s="1523">
        <f t="shared" si="39"/>
        <v>0</v>
      </c>
      <c r="L54" s="1523">
        <f t="shared" si="39"/>
        <v>0</v>
      </c>
      <c r="M54" s="1523">
        <f t="shared" si="39"/>
        <v>0</v>
      </c>
      <c r="N54" s="1523">
        <f t="shared" si="39"/>
        <v>0</v>
      </c>
      <c r="O54" s="1523">
        <f t="shared" si="39"/>
        <v>0</v>
      </c>
      <c r="P54" s="1523">
        <f t="shared" si="39"/>
        <v>0</v>
      </c>
      <c r="Q54" s="1523">
        <f t="shared" si="39"/>
        <v>0</v>
      </c>
      <c r="R54" s="1523">
        <f t="shared" si="39"/>
        <v>0</v>
      </c>
      <c r="S54" s="1523">
        <f t="shared" si="39"/>
        <v>0</v>
      </c>
      <c r="T54" s="1523">
        <f t="shared" si="39"/>
        <v>0</v>
      </c>
      <c r="U54" s="1523">
        <f t="shared" si="39"/>
        <v>0</v>
      </c>
      <c r="V54" s="1523">
        <f t="shared" si="39"/>
        <v>0</v>
      </c>
      <c r="W54" s="1523">
        <f t="shared" si="39"/>
        <v>0</v>
      </c>
      <c r="X54" s="1523">
        <f t="shared" si="39"/>
        <v>0</v>
      </c>
      <c r="Y54" s="1523">
        <f t="shared" si="39"/>
        <v>0</v>
      </c>
      <c r="Z54" s="1523">
        <f t="shared" si="39"/>
        <v>0</v>
      </c>
      <c r="AA54" s="1523">
        <f t="shared" si="39"/>
        <v>0</v>
      </c>
      <c r="AB54" s="1523">
        <f t="shared" si="39"/>
        <v>0</v>
      </c>
      <c r="AC54" s="1523">
        <f t="shared" si="39"/>
        <v>0</v>
      </c>
      <c r="AD54" s="1524" t="e" vm="1">
        <f>SUM(C54:AC54)</f>
        <v>#VALUE!</v>
      </c>
    </row>
    <row r="55" spans="1:34" ht="30" customHeight="1">
      <c r="A55" s="2848" t="s">
        <v>870</v>
      </c>
      <c r="B55" s="2849"/>
      <c r="C55" s="1525"/>
      <c r="D55" s="1525"/>
      <c r="E55" s="1451"/>
      <c r="F55" s="1451"/>
      <c r="G55" s="1451"/>
      <c r="H55" s="1451"/>
      <c r="I55" s="1451"/>
      <c r="J55" s="1451"/>
      <c r="K55" s="1451"/>
      <c r="L55" s="1451"/>
      <c r="M55" s="1451"/>
      <c r="N55" s="1451"/>
      <c r="O55" s="1451"/>
      <c r="P55" s="1451"/>
      <c r="Q55" s="1451"/>
      <c r="R55" s="1451"/>
      <c r="S55" s="1451"/>
      <c r="T55" s="1451"/>
      <c r="U55" s="1451"/>
      <c r="V55" s="1451"/>
      <c r="W55" s="1451"/>
      <c r="X55" s="1451"/>
      <c r="Y55" s="1451"/>
      <c r="Z55" s="1452"/>
      <c r="AA55" s="1451"/>
      <c r="AB55" s="1451"/>
      <c r="AC55" s="1453"/>
      <c r="AD55" s="1458"/>
    </row>
    <row r="56" spans="1:34" ht="42" customHeight="1">
      <c r="A56" s="2850" t="s">
        <v>1141</v>
      </c>
      <c r="B56" s="2851"/>
      <c r="C56" s="1526"/>
      <c r="D56" s="1526"/>
      <c r="E56" s="1454"/>
      <c r="F56" s="1454"/>
      <c r="G56" s="1454"/>
      <c r="H56" s="1454"/>
      <c r="I56" s="1454"/>
      <c r="J56" s="1454"/>
      <c r="K56" s="1454"/>
      <c r="L56" s="1454"/>
      <c r="M56" s="1454"/>
      <c r="N56" s="1454"/>
      <c r="O56" s="1454"/>
      <c r="P56" s="1454"/>
      <c r="Q56" s="1454"/>
      <c r="R56" s="1454"/>
      <c r="S56" s="1454"/>
      <c r="T56" s="1454"/>
      <c r="U56" s="1454"/>
      <c r="V56" s="1454"/>
      <c r="W56" s="1454"/>
      <c r="X56" s="1454"/>
      <c r="Y56" s="1454"/>
      <c r="Z56" s="1455"/>
      <c r="AA56" s="1454"/>
      <c r="AB56" s="1454"/>
      <c r="AC56" s="1456"/>
      <c r="AD56" s="1458"/>
    </row>
    <row r="57" spans="1:34" ht="41" customHeight="1">
      <c r="A57" s="2852" t="s">
        <v>1140</v>
      </c>
      <c r="B57" s="2853"/>
      <c r="C57" s="1527"/>
      <c r="D57" s="1527"/>
      <c r="E57" s="1828"/>
      <c r="F57" s="1828"/>
      <c r="G57" s="1828"/>
      <c r="H57" s="1828"/>
      <c r="I57" s="1828"/>
      <c r="J57" s="1828"/>
      <c r="K57" s="1828"/>
      <c r="L57" s="1828"/>
      <c r="M57" s="1828"/>
      <c r="N57" s="1828"/>
      <c r="O57" s="1828"/>
      <c r="P57" s="1828"/>
      <c r="Q57" s="1828"/>
      <c r="R57" s="1828"/>
      <c r="S57" s="1828"/>
      <c r="T57" s="1828"/>
      <c r="U57" s="1828"/>
      <c r="V57" s="1828"/>
      <c r="W57" s="1828"/>
      <c r="X57" s="1828"/>
      <c r="Y57" s="1828"/>
      <c r="Z57" s="1828"/>
      <c r="AA57" s="1828"/>
      <c r="AB57" s="1521"/>
      <c r="AC57" s="1528"/>
      <c r="AD57" s="1458"/>
    </row>
    <row r="58" spans="1:34" ht="23" customHeight="1">
      <c r="A58" s="2830" t="s">
        <v>1358</v>
      </c>
      <c r="B58" s="2831"/>
      <c r="C58" s="1824"/>
      <c r="D58" s="1824"/>
      <c r="E58" s="1828"/>
      <c r="F58" s="1828"/>
      <c r="G58" s="1828"/>
      <c r="H58" s="1828"/>
      <c r="I58" s="1828"/>
      <c r="J58" s="1828"/>
      <c r="K58" s="1828"/>
      <c r="L58" s="1828"/>
      <c r="M58" s="1828"/>
      <c r="N58" s="1828"/>
      <c r="O58" s="1828"/>
      <c r="P58" s="1828"/>
      <c r="Q58" s="1828"/>
      <c r="R58" s="1828"/>
      <c r="S58" s="1828"/>
      <c r="T58" s="1828"/>
      <c r="U58" s="1828"/>
      <c r="V58" s="1828"/>
      <c r="W58" s="1828"/>
      <c r="X58" s="1828"/>
      <c r="Y58" s="1828"/>
      <c r="Z58" s="1828"/>
      <c r="AA58" s="1828"/>
      <c r="AB58" s="1825"/>
      <c r="AC58" s="1826"/>
      <c r="AD58" s="1458"/>
    </row>
    <row r="59" spans="1:34" ht="22" customHeight="1" thickBot="1">
      <c r="A59" s="2830" t="s">
        <v>1359</v>
      </c>
      <c r="B59" s="2831"/>
      <c r="C59" s="1829"/>
      <c r="D59" s="1829"/>
      <c r="E59" s="1828"/>
      <c r="F59" s="1828"/>
      <c r="G59" s="1828"/>
      <c r="H59" s="1828"/>
      <c r="I59" s="1828"/>
      <c r="J59" s="1828"/>
      <c r="K59" s="1828"/>
      <c r="L59" s="1828"/>
      <c r="M59" s="1828"/>
      <c r="N59" s="1828"/>
      <c r="O59" s="1828"/>
      <c r="P59" s="1828"/>
      <c r="Q59" s="1828"/>
      <c r="R59" s="1828"/>
      <c r="S59" s="1828"/>
      <c r="T59" s="1828"/>
      <c r="U59" s="1828"/>
      <c r="V59" s="1828"/>
      <c r="W59" s="1828"/>
      <c r="X59" s="1828"/>
      <c r="Y59" s="1828"/>
      <c r="Z59" s="1828"/>
      <c r="AA59" s="1828"/>
      <c r="AB59" s="1825"/>
      <c r="AC59" s="1826"/>
      <c r="AD59" s="1458"/>
    </row>
    <row r="60" spans="1:34" ht="21" customHeight="1">
      <c r="A60" s="2854" t="s">
        <v>792</v>
      </c>
      <c r="B60" s="2855"/>
      <c r="C60" s="1829"/>
      <c r="D60" s="1829"/>
      <c r="E60" s="1827" t="e" vm="1">
        <f t="shared" ref="E60:AA60" si="40">IF(E18&gt;0,(((SUM(E29:E33))*E16*E18/12)+((E25+E26+E27+E28)*E16/12)+E23+E34+E24+E35+E36+E42)/E18*12/1924*SUM(E55/4+E56*0.5+E57)+(E58*163.64*E16)+(E59*372.2*E16),0)</f>
        <v>#VALUE!</v>
      </c>
      <c r="F60" s="1827">
        <f t="shared" si="40"/>
        <v>0</v>
      </c>
      <c r="G60" s="1827">
        <f t="shared" si="40"/>
        <v>0</v>
      </c>
      <c r="H60" s="1827">
        <f t="shared" si="40"/>
        <v>0</v>
      </c>
      <c r="I60" s="1827">
        <f t="shared" si="40"/>
        <v>0</v>
      </c>
      <c r="J60" s="1827">
        <f t="shared" si="40"/>
        <v>0</v>
      </c>
      <c r="K60" s="1827">
        <f t="shared" si="40"/>
        <v>0</v>
      </c>
      <c r="L60" s="1827">
        <f t="shared" si="40"/>
        <v>0</v>
      </c>
      <c r="M60" s="1827">
        <f t="shared" si="40"/>
        <v>0</v>
      </c>
      <c r="N60" s="1827">
        <f t="shared" si="40"/>
        <v>0</v>
      </c>
      <c r="O60" s="1827">
        <f t="shared" si="40"/>
        <v>0</v>
      </c>
      <c r="P60" s="1827">
        <f t="shared" si="40"/>
        <v>0</v>
      </c>
      <c r="Q60" s="1827">
        <f t="shared" si="40"/>
        <v>0</v>
      </c>
      <c r="R60" s="1827">
        <f t="shared" si="40"/>
        <v>0</v>
      </c>
      <c r="S60" s="1827">
        <f t="shared" si="40"/>
        <v>0</v>
      </c>
      <c r="T60" s="1827">
        <f t="shared" si="40"/>
        <v>0</v>
      </c>
      <c r="U60" s="1827">
        <f t="shared" si="40"/>
        <v>0</v>
      </c>
      <c r="V60" s="1827">
        <f t="shared" si="40"/>
        <v>0</v>
      </c>
      <c r="W60" s="1827">
        <f t="shared" si="40"/>
        <v>0</v>
      </c>
      <c r="X60" s="1827">
        <f t="shared" si="40"/>
        <v>0</v>
      </c>
      <c r="Y60" s="1827">
        <f t="shared" si="40"/>
        <v>0</v>
      </c>
      <c r="Z60" s="1827">
        <f t="shared" si="40"/>
        <v>0</v>
      </c>
      <c r="AA60" s="1827">
        <f t="shared" si="40"/>
        <v>0</v>
      </c>
      <c r="AB60" s="1457">
        <f>IF(AB18&gt;0,(((SUM(AB29:AB33))*AB16*AB18/12)+((AB25+AB26+AB27+AB28)*AB16/12)+AB23+AB34+AB24+AB35+AB36+#REF!+AB42)/AB18*12/1924*SUM(AB55/4+AB56*0.5+AB57),0)</f>
        <v>0</v>
      </c>
      <c r="AC60" s="1457">
        <f>IF(AC18&gt;0,(((SUM(AC29:AC33))*AC16*AC18/12)+((AC25+AC26+AC27+AC28)*AC16/12)+AC23+AC34+AC24+AC35+AC36+#REF!+AC42)/AC18*12/1924*SUM(AC55/4+AC56*0.5+AC57),0)</f>
        <v>0</v>
      </c>
      <c r="AD60" s="1458"/>
    </row>
    <row r="61" spans="1:34" ht="44" customHeight="1">
      <c r="A61" s="2832" t="s">
        <v>1412</v>
      </c>
      <c r="B61" s="2833"/>
      <c r="C61" s="2284"/>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3"/>
      <c r="AC61" s="2283"/>
      <c r="AD61" s="1417"/>
    </row>
    <row r="62" spans="1:34" ht="24" customHeight="1">
      <c r="A62" s="2834" t="s">
        <v>1382</v>
      </c>
      <c r="B62" s="2835"/>
      <c r="C62" s="2308"/>
      <c r="D62" s="2309"/>
      <c r="E62" s="2309"/>
      <c r="F62" s="2309"/>
      <c r="G62" s="2309"/>
      <c r="H62" s="2309"/>
      <c r="I62" s="2309"/>
      <c r="J62" s="2309"/>
      <c r="K62" s="2309"/>
      <c r="L62" s="2309"/>
      <c r="M62" s="2309"/>
      <c r="N62" s="2309"/>
      <c r="O62" s="2309"/>
      <c r="P62" s="2309"/>
      <c r="Q62" s="2309"/>
      <c r="R62" s="2309"/>
      <c r="S62" s="2309"/>
      <c r="T62" s="2309"/>
      <c r="U62" s="2309"/>
      <c r="V62" s="2309"/>
      <c r="W62" s="2309"/>
      <c r="X62" s="2309"/>
      <c r="Y62" s="2309"/>
      <c r="Z62" s="2309"/>
      <c r="AA62" s="2309"/>
      <c r="AB62" s="2283"/>
      <c r="AC62" s="2310"/>
      <c r="AD62" s="1417"/>
    </row>
    <row r="63" spans="1:34" ht="48" customHeight="1">
      <c r="A63" s="2826" t="str">
        <f>"Vedr. beregning af det særlige ferietillæg der udbetales maj og august "&amp;budgetår&amp;" oplyses her antal ansættelsesmåneder i perioden september "&amp;budgetår-1&amp;" - august "&amp;budgetår&amp;". Hvis alle måneder - skriv 12. Hvis den ansatte har mere end en kolonne, oplyses tallet i den kolonne/ansættelse der går videre til "&amp;budgetår+1&amp;"."</f>
        <v>Vedr. beregning af det særlige ferietillæg der udbetales maj og august 2024 oplyses her antal ansættelsesmåneder i perioden september 2023 - august 2024. Hvis alle måneder - skriv 12. Hvis den ansatte har mere end en kolonne, oplyses tallet i den kolonne/ansættelse der går videre til 2025.</v>
      </c>
      <c r="B63" s="2827"/>
      <c r="C63" s="1451"/>
      <c r="D63" s="1451"/>
      <c r="E63" s="1451"/>
      <c r="F63" s="1451"/>
      <c r="G63" s="1451"/>
      <c r="H63" s="1451"/>
      <c r="I63" s="1451"/>
      <c r="J63" s="1451"/>
      <c r="K63" s="1451"/>
      <c r="L63" s="1451"/>
      <c r="M63" s="1451"/>
      <c r="N63" s="1451"/>
      <c r="O63" s="1451"/>
      <c r="P63" s="1451"/>
      <c r="Q63" s="1451"/>
      <c r="R63" s="1451"/>
      <c r="S63" s="1451"/>
      <c r="T63" s="1451"/>
      <c r="U63" s="1451"/>
      <c r="V63" s="1451"/>
      <c r="W63" s="1451"/>
      <c r="X63" s="1451"/>
      <c r="Y63" s="1451"/>
      <c r="Z63" s="1452"/>
      <c r="AA63" s="1451"/>
      <c r="AB63" s="1521"/>
      <c r="AC63" s="1528"/>
      <c r="AD63" s="1458"/>
    </row>
    <row r="64" spans="1:34" ht="22" customHeight="1">
      <c r="A64" s="2824" t="str">
        <f>"Særlig ferietillæg - 1,5% af den ferieberettiget løn optjent september "&amp;budgetår-1&amp;" - august "&amp;budgetår&amp;""</f>
        <v>Særlig ferietillæg - 1,5% af den ferieberettiget løn optjent september 2023 - august 2024</v>
      </c>
      <c r="B64" s="2825"/>
      <c r="C64" s="1459">
        <f t="shared" ref="C64:AA64" si="41">IF(C9&gt;0,(C44+C55+C56+C57)*1.5%*C63,0)</f>
        <v>0</v>
      </c>
      <c r="D64" s="1459">
        <f t="shared" si="41"/>
        <v>0</v>
      </c>
      <c r="E64" s="1459" t="e" vm="1">
        <f t="shared" si="41"/>
        <v>#VALUE!</v>
      </c>
      <c r="F64" s="1459">
        <f t="shared" si="41"/>
        <v>0</v>
      </c>
      <c r="G64" s="1459">
        <f t="shared" si="41"/>
        <v>0</v>
      </c>
      <c r="H64" s="1459">
        <f t="shared" si="41"/>
        <v>0</v>
      </c>
      <c r="I64" s="1459">
        <f t="shared" si="41"/>
        <v>0</v>
      </c>
      <c r="J64" s="1459">
        <f t="shared" si="41"/>
        <v>0</v>
      </c>
      <c r="K64" s="1459">
        <f t="shared" si="41"/>
        <v>0</v>
      </c>
      <c r="L64" s="1459">
        <f t="shared" si="41"/>
        <v>0</v>
      </c>
      <c r="M64" s="1459">
        <f t="shared" si="41"/>
        <v>0</v>
      </c>
      <c r="N64" s="1459">
        <f t="shared" si="41"/>
        <v>0</v>
      </c>
      <c r="O64" s="1459">
        <f t="shared" si="41"/>
        <v>0</v>
      </c>
      <c r="P64" s="1459">
        <f t="shared" si="41"/>
        <v>0</v>
      </c>
      <c r="Q64" s="1459">
        <f t="shared" si="41"/>
        <v>0</v>
      </c>
      <c r="R64" s="1459">
        <f t="shared" si="41"/>
        <v>0</v>
      </c>
      <c r="S64" s="1459">
        <f t="shared" si="41"/>
        <v>0</v>
      </c>
      <c r="T64" s="1459">
        <f t="shared" si="41"/>
        <v>0</v>
      </c>
      <c r="U64" s="1459">
        <f t="shared" si="41"/>
        <v>0</v>
      </c>
      <c r="V64" s="1459">
        <f t="shared" si="41"/>
        <v>0</v>
      </c>
      <c r="W64" s="1459">
        <f t="shared" si="41"/>
        <v>0</v>
      </c>
      <c r="X64" s="1459">
        <f t="shared" si="41"/>
        <v>0</v>
      </c>
      <c r="Y64" s="1459">
        <f t="shared" si="41"/>
        <v>0</v>
      </c>
      <c r="Z64" s="1459">
        <f t="shared" si="41"/>
        <v>0</v>
      </c>
      <c r="AA64" s="1459">
        <f t="shared" si="41"/>
        <v>0</v>
      </c>
      <c r="AB64" s="1521"/>
      <c r="AC64" s="1528"/>
      <c r="AD64" s="1458"/>
      <c r="AF64" s="2357"/>
      <c r="AG64" s="2357"/>
      <c r="AH64" s="2358"/>
    </row>
    <row r="65" spans="1:34" ht="60" customHeight="1">
      <c r="A65" s="2828" t="str">
        <f>"Antal særlige feriedage optjent "&amp;budgetår-2&amp;" som ikke er afholdt i perioden 1. maj "&amp;budgetår-1&amp;" - 30. april "&amp;budgetår&amp;" og som udbetales 30. april "&amp;budgetår&amp;". Hvis den ansatte har mere end en kolonne, oplyses antal skyldige særlige feriedage i den kolonne der videreføres til "&amp;budgetår&amp;". Ved en ansat der fratræder oplyses her antal feriedage og særlige feriedage der afregnes med."</f>
        <v>Antal særlige feriedage optjent 2022 som ikke er afholdt i perioden 1. maj 2023 - 30. april 2024 og som udbetales 30. april 2024. Hvis den ansatte har mere end en kolonne, oplyses antal skyldige særlige feriedage i den kolonne der videreføres til 2024. Ved en ansat der fratræder oplyses her antal feriedage og særlige feriedage der afregnes med.</v>
      </c>
      <c r="B65" s="2829"/>
      <c r="C65" s="1455"/>
      <c r="D65" s="1455"/>
      <c r="E65" s="1455"/>
      <c r="F65" s="1455"/>
      <c r="G65" s="1455"/>
      <c r="H65" s="1455"/>
      <c r="I65" s="1455"/>
      <c r="J65" s="1455"/>
      <c r="K65" s="1455"/>
      <c r="L65" s="1455"/>
      <c r="M65" s="1455"/>
      <c r="N65" s="1455"/>
      <c r="O65" s="1455"/>
      <c r="P65" s="1455"/>
      <c r="Q65" s="1455"/>
      <c r="R65" s="1455"/>
      <c r="S65" s="1455"/>
      <c r="T65" s="1455"/>
      <c r="U65" s="1455"/>
      <c r="V65" s="1455"/>
      <c r="W65" s="1455"/>
      <c r="X65" s="1455"/>
      <c r="Y65" s="1455"/>
      <c r="Z65" s="1455"/>
      <c r="AA65" s="1455"/>
      <c r="AB65" s="1529"/>
      <c r="AC65" s="1530"/>
      <c r="AD65" s="1458"/>
      <c r="AF65" s="2357"/>
      <c r="AG65" s="2357"/>
      <c r="AH65" s="2358"/>
    </row>
    <row r="66" spans="1:34" ht="31" customHeight="1">
      <c r="A66" s="2824" t="str">
        <f>"Særlige feriedage optjent "&amp;budgetår-2&amp;" - udbetalt april "&amp;budgetår&amp;" (0,5% pr. skyldig dag) ELLER hvis afregne - skriv antal dage der afregnes med"</f>
        <v>Særlige feriedage optjent 2022 - udbetalt april 2024 (0,5% pr. skyldig dag) ELLER hvis afregne - skriv antal dage der afregnes med</v>
      </c>
      <c r="B66" s="2825"/>
      <c r="C66" s="1459">
        <f>((C44+C47)*12/C16*SatsBilag!$B$8-((C44+C47)/C16*SatsBilag!$B$8*12/52/5*25))*0.5%*C65</f>
        <v>0</v>
      </c>
      <c r="D66" s="1459">
        <f>((D44+D47)*12/D16*SatsBilag!$B$8-((D44+D47)/D16*SatsBilag!$B$8*12/52/5*25))*0.5%*D65</f>
        <v>0</v>
      </c>
      <c r="E66" s="1459" t="e" vm="1">
        <f>((E44+E47)*12/E16*SatsBilag!$B$8-((E44+E47)/E16*SatsBilag!$B$8*12/52/5*25))*0.5%*E65</f>
        <v>#VALUE!</v>
      </c>
      <c r="F66" s="1459">
        <f>((F44+F47)*12/F16*SatsBilag!$B$8-((F44+F47)/F16*SatsBilag!$B$8*12/52/5*25))*0.5%*F65</f>
        <v>0</v>
      </c>
      <c r="G66" s="1459">
        <f>((G44+G47)*12/G16*SatsBilag!$B$8-((G44+G47)/G16*SatsBilag!$B$8*12/52/5*25))*0.5%*G65</f>
        <v>0</v>
      </c>
      <c r="H66" s="1459">
        <f>((H44+H47)*12/H16*SatsBilag!$B$8-((H44+H47)/H16*SatsBilag!$B$8*12/52/5*25))*0.5%*H65</f>
        <v>0</v>
      </c>
      <c r="I66" s="1459">
        <f>((I44+I47)*12/I16*SatsBilag!$B$8-((I44+I47)/I16*SatsBilag!$B$8*12/52/5*25))*0.5%*I65</f>
        <v>0</v>
      </c>
      <c r="J66" s="1459">
        <f>((J44+J47)*12/J16*SatsBilag!$B$8-((J44+J47)/J16*SatsBilag!$B$8*12/52/5*25))*0.5%*J65</f>
        <v>0</v>
      </c>
      <c r="K66" s="1459">
        <f>((K44+K47)*12/K16*SatsBilag!$B$8-((K44+K47)/K16*SatsBilag!$B$8*12/52/5*25))*0.5%*K65</f>
        <v>0</v>
      </c>
      <c r="L66" s="1459">
        <f>((L44+L47)*12/L16*SatsBilag!$B$8-((L44+L47)/L16*SatsBilag!$B$8*12/52/5*25))*0.5%*L65</f>
        <v>0</v>
      </c>
      <c r="M66" s="1459">
        <f>((M44+M47)*12/M16*SatsBilag!$B$8-((M44+M47)/M16*SatsBilag!$B$8*12/52/5*25))*0.5%*M65</f>
        <v>0</v>
      </c>
      <c r="N66" s="1459">
        <f>((N44+N47)*12/N16*SatsBilag!$B$8-((N44+N47)/N16*SatsBilag!$B$8*12/52/5*25))*0.5%*N65</f>
        <v>0</v>
      </c>
      <c r="O66" s="1459">
        <f>((O44+O47)*12/O16*SatsBilag!$B$8-((O44+O47)/O16*SatsBilag!$B$8*12/52/5*25))*0.5%*O65</f>
        <v>0</v>
      </c>
      <c r="P66" s="1459">
        <f>((P44+P47)*12/P16*SatsBilag!$B$8-((P44+P47)/P16*SatsBilag!$B$8*12/52/5*25))*0.5%*P65</f>
        <v>0</v>
      </c>
      <c r="Q66" s="1459">
        <f>((Q44+Q47)*12/Q16*SatsBilag!$B$8-((Q44+Q47)/Q16*SatsBilag!$B$8*12/52/5*25))*0.5%*Q65</f>
        <v>0</v>
      </c>
      <c r="R66" s="1459">
        <f>((R44+R47)*12/R16*SatsBilag!$B$8-((R44+R47)/R16*SatsBilag!$B$8*12/52/5*25))*0.5%*R65</f>
        <v>0</v>
      </c>
      <c r="S66" s="1459">
        <f>((S44+S47)*12/S16*SatsBilag!$B$8-((S44+S47)/S16*SatsBilag!$B$8*12/52/5*25))*0.5%*S65</f>
        <v>0</v>
      </c>
      <c r="T66" s="1459">
        <f>((T44+T47)*12/T16*SatsBilag!$B$8-((T44+T47)/T16*SatsBilag!$B$8*12/52/5*25))*0.5%*T65</f>
        <v>0</v>
      </c>
      <c r="U66" s="1459">
        <f>((U44+U47)*12/U16*SatsBilag!$B$8-((U44+U47)/U16*SatsBilag!$B$8*12/52/5*25))*0.5%*U65</f>
        <v>0</v>
      </c>
      <c r="V66" s="1459">
        <f>((V44+V47)*12/V16*SatsBilag!$B$8-((V44+V47)/V16*SatsBilag!$B$8*12/52/5*25))*0.5%*V65</f>
        <v>0</v>
      </c>
      <c r="W66" s="1459">
        <f>((W44+W47)*12/W16*SatsBilag!$B$8-((W44+W47)/W16*SatsBilag!$B$8*12/52/5*25))*0.5%*W65</f>
        <v>0</v>
      </c>
      <c r="X66" s="1459">
        <f>((X44+X47)*12/X16*SatsBilag!$B$8-((X44+X47)/X16*SatsBilag!$B$8*12/52/5*25))*0.5%*X65</f>
        <v>0</v>
      </c>
      <c r="Y66" s="1459">
        <f>((Y44+Y47)*12/Y16*SatsBilag!$B$8-((Y44+Y47)/Y16*SatsBilag!$B$8*12/52/5*25))*0.5%*Y65</f>
        <v>0</v>
      </c>
      <c r="Z66" s="1459">
        <f>((Z44+Z47)*12/Z16*SatsBilag!$B$8-((Z44+Z47)/Z16*SatsBilag!$B$8*12/52/5*25))*0.5%*Z65</f>
        <v>0</v>
      </c>
      <c r="AA66" s="1459">
        <f>((AA44+AA47)*12/AA16*SatsBilag!$B$8-((AA44+AA47)/AA16*SatsBilag!$B$8*12/52/5*25))*0.5%*AA65</f>
        <v>0</v>
      </c>
      <c r="AB66" s="1521"/>
      <c r="AC66" s="1528"/>
      <c r="AD66" s="1531"/>
    </row>
    <row r="67" spans="1:34" ht="24" customHeight="1" thickBot="1">
      <c r="A67" s="2846" t="str">
        <f>"Lærerløns udgift for  "&amp;budgetår</f>
        <v>Lærerløns udgift for  2024</v>
      </c>
      <c r="B67" s="2847"/>
      <c r="C67" s="1532">
        <f t="shared" ref="C67:D67" si="42">IF(C11="orlov",(C52+C51+C50+C62+C70)*C9+C61+C64+C66,C54*C9+C60+C61+C64+C66+C62+C70*C9)</f>
        <v>0</v>
      </c>
      <c r="D67" s="1532">
        <f t="shared" si="42"/>
        <v>0</v>
      </c>
      <c r="E67" s="1532" t="e" vm="1">
        <f>IF(E11="orlov",(E52+E51+E50+E62+E70)*E9+E61+E64+E66,E54*E9+E60+E61+E64+E66+E62+E70*E9)</f>
        <v>#VALUE!</v>
      </c>
      <c r="F67" s="1532">
        <f>IF(F11="orlov",(F52+F51+F50+F62+F70)*F9+F61+F64+F66,F54*F9+F60+F61+F64+F66+F62+F70*F9)</f>
        <v>0</v>
      </c>
      <c r="G67" s="1532">
        <f t="shared" ref="G67:AA67" si="43">IF(G11="orlov",(G52+G51+G50+G62+G70)*G9+G61+G64+G66,G54*G9+G60+G61+G64+G66+G62+G70*G9)</f>
        <v>0</v>
      </c>
      <c r="H67" s="1532">
        <f t="shared" si="43"/>
        <v>0</v>
      </c>
      <c r="I67" s="1532">
        <f t="shared" si="43"/>
        <v>0</v>
      </c>
      <c r="J67" s="1532">
        <f t="shared" si="43"/>
        <v>0</v>
      </c>
      <c r="K67" s="1532">
        <f t="shared" si="43"/>
        <v>0</v>
      </c>
      <c r="L67" s="1532">
        <f t="shared" si="43"/>
        <v>0</v>
      </c>
      <c r="M67" s="1532">
        <f t="shared" si="43"/>
        <v>0</v>
      </c>
      <c r="N67" s="1532">
        <f t="shared" si="43"/>
        <v>0</v>
      </c>
      <c r="O67" s="1532">
        <f t="shared" si="43"/>
        <v>0</v>
      </c>
      <c r="P67" s="1532">
        <f t="shared" si="43"/>
        <v>0</v>
      </c>
      <c r="Q67" s="1532">
        <f t="shared" si="43"/>
        <v>0</v>
      </c>
      <c r="R67" s="1532">
        <f t="shared" si="43"/>
        <v>0</v>
      </c>
      <c r="S67" s="1532">
        <f t="shared" si="43"/>
        <v>0</v>
      </c>
      <c r="T67" s="1532">
        <f t="shared" si="43"/>
        <v>0</v>
      </c>
      <c r="U67" s="1532">
        <f t="shared" si="43"/>
        <v>0</v>
      </c>
      <c r="V67" s="1532">
        <f t="shared" si="43"/>
        <v>0</v>
      </c>
      <c r="W67" s="1532">
        <f t="shared" si="43"/>
        <v>0</v>
      </c>
      <c r="X67" s="1532">
        <f t="shared" si="43"/>
        <v>0</v>
      </c>
      <c r="Y67" s="1532">
        <f t="shared" si="43"/>
        <v>0</v>
      </c>
      <c r="Z67" s="1532">
        <f t="shared" si="43"/>
        <v>0</v>
      </c>
      <c r="AA67" s="1532">
        <f t="shared" si="43"/>
        <v>0</v>
      </c>
      <c r="AB67" s="1532">
        <f>IF(AB11="orlov",AB52*AB9,AB54*AB9+AB60+AB64+AB66)</f>
        <v>0</v>
      </c>
      <c r="AC67" s="1532">
        <f>IF(AC11="orlov",AC52*AC9,AC54*AC9+AC60+AC64+AC66)</f>
        <v>0</v>
      </c>
      <c r="AD67" s="1533" t="e" vm="1">
        <f>SUM(C67:AC67)</f>
        <v>#VALUE!</v>
      </c>
    </row>
    <row r="68" spans="1:34" ht="24" customHeight="1" thickBot="1">
      <c r="A68" s="2844" t="str">
        <f>"Anslået udgift for  "&amp;budgetår+1</f>
        <v>Anslået udgift for  2025</v>
      </c>
      <c r="B68" s="2845"/>
      <c r="C68" s="1534">
        <f t="shared" ref="C68:AA68" si="44">IF(AND(C10&gt;0,C11="Orlov"),((((((C50+C51+C52+C62+C70)*C10)+C64+C66))*(Lønfremskivning+1))),(((C54+C70)*C10+C69+IF(C10&gt;0,+C60+C64+C66+C62))*(Lønfremskivning+1)))</f>
        <v>0</v>
      </c>
      <c r="D68" s="1534">
        <f t="shared" si="44"/>
        <v>0</v>
      </c>
      <c r="E68" s="1534" t="e" vm="1">
        <f t="shared" si="44"/>
        <v>#VALUE!</v>
      </c>
      <c r="F68" s="1534">
        <f t="shared" si="44"/>
        <v>0</v>
      </c>
      <c r="G68" s="1534">
        <f t="shared" si="44"/>
        <v>0</v>
      </c>
      <c r="H68" s="1534">
        <f t="shared" si="44"/>
        <v>0</v>
      </c>
      <c r="I68" s="1534">
        <f t="shared" si="44"/>
        <v>0</v>
      </c>
      <c r="J68" s="1534">
        <f t="shared" si="44"/>
        <v>0</v>
      </c>
      <c r="K68" s="1534">
        <f t="shared" si="44"/>
        <v>0</v>
      </c>
      <c r="L68" s="1534">
        <f t="shared" si="44"/>
        <v>0</v>
      </c>
      <c r="M68" s="1534">
        <f t="shared" si="44"/>
        <v>0</v>
      </c>
      <c r="N68" s="1534">
        <f t="shared" si="44"/>
        <v>0</v>
      </c>
      <c r="O68" s="1534">
        <f t="shared" si="44"/>
        <v>0</v>
      </c>
      <c r="P68" s="1534">
        <f t="shared" si="44"/>
        <v>0</v>
      </c>
      <c r="Q68" s="1534">
        <f t="shared" si="44"/>
        <v>0</v>
      </c>
      <c r="R68" s="1534">
        <f t="shared" si="44"/>
        <v>0</v>
      </c>
      <c r="S68" s="1534">
        <f t="shared" si="44"/>
        <v>0</v>
      </c>
      <c r="T68" s="1534">
        <f t="shared" si="44"/>
        <v>0</v>
      </c>
      <c r="U68" s="1534">
        <f t="shared" si="44"/>
        <v>0</v>
      </c>
      <c r="V68" s="1534">
        <f t="shared" si="44"/>
        <v>0</v>
      </c>
      <c r="W68" s="1534">
        <f t="shared" si="44"/>
        <v>0</v>
      </c>
      <c r="X68" s="1534">
        <f t="shared" si="44"/>
        <v>0</v>
      </c>
      <c r="Y68" s="1534">
        <f t="shared" si="44"/>
        <v>0</v>
      </c>
      <c r="Z68" s="1534">
        <f t="shared" si="44"/>
        <v>0</v>
      </c>
      <c r="AA68" s="1534">
        <f t="shared" si="44"/>
        <v>0</v>
      </c>
      <c r="AB68" s="1534">
        <f>IF(AB10&gt;0,(AB54*AB10+AB60+AB64+AB66)*(Lønfremskivning+1),0)</f>
        <v>0</v>
      </c>
      <c r="AC68" s="1534">
        <f>IF(AC10&gt;0,(AC54*AC10+AC60+AC64+AC66)*(Lønfremskivning+1),0)</f>
        <v>0</v>
      </c>
      <c r="AD68" s="1535" t="e" vm="1">
        <f>SUM(C68:AC68)</f>
        <v>#VALUE!</v>
      </c>
    </row>
    <row r="69" spans="1:34" s="2356" customFormat="1" ht="24" hidden="1" customHeight="1">
      <c r="A69" s="2353" t="s">
        <v>1414</v>
      </c>
      <c r="B69" s="2353"/>
      <c r="C69" s="2354">
        <f t="shared" ref="C69:AA69" si="45">IF(AND(C13="Nej",C14="Ja"),(C23+C37)*1.17*0.8%*C10,0)</f>
        <v>0</v>
      </c>
      <c r="D69" s="2354">
        <f t="shared" si="45"/>
        <v>0</v>
      </c>
      <c r="E69" s="2354">
        <f t="shared" si="45"/>
        <v>0</v>
      </c>
      <c r="F69" s="2354">
        <f t="shared" si="45"/>
        <v>0</v>
      </c>
      <c r="G69" s="2354">
        <f t="shared" si="45"/>
        <v>0</v>
      </c>
      <c r="H69" s="2354">
        <f t="shared" si="45"/>
        <v>0</v>
      </c>
      <c r="I69" s="2354">
        <f t="shared" si="45"/>
        <v>0</v>
      </c>
      <c r="J69" s="2354">
        <f t="shared" si="45"/>
        <v>0</v>
      </c>
      <c r="K69" s="2354">
        <f t="shared" si="45"/>
        <v>0</v>
      </c>
      <c r="L69" s="2354">
        <f t="shared" si="45"/>
        <v>0</v>
      </c>
      <c r="M69" s="2354">
        <f t="shared" si="45"/>
        <v>0</v>
      </c>
      <c r="N69" s="2354">
        <f t="shared" si="45"/>
        <v>0</v>
      </c>
      <c r="O69" s="2354">
        <f t="shared" si="45"/>
        <v>0</v>
      </c>
      <c r="P69" s="2354">
        <f t="shared" si="45"/>
        <v>0</v>
      </c>
      <c r="Q69" s="2354">
        <f t="shared" si="45"/>
        <v>0</v>
      </c>
      <c r="R69" s="2354">
        <f t="shared" si="45"/>
        <v>0</v>
      </c>
      <c r="S69" s="2354">
        <f t="shared" si="45"/>
        <v>0</v>
      </c>
      <c r="T69" s="2354">
        <f t="shared" si="45"/>
        <v>0</v>
      </c>
      <c r="U69" s="2354">
        <f t="shared" si="45"/>
        <v>0</v>
      </c>
      <c r="V69" s="2354">
        <f t="shared" si="45"/>
        <v>0</v>
      </c>
      <c r="W69" s="2354">
        <f t="shared" si="45"/>
        <v>0</v>
      </c>
      <c r="X69" s="2354">
        <f t="shared" si="45"/>
        <v>0</v>
      </c>
      <c r="Y69" s="2354">
        <f t="shared" si="45"/>
        <v>0</v>
      </c>
      <c r="Z69" s="2354">
        <f t="shared" si="45"/>
        <v>0</v>
      </c>
      <c r="AA69" s="2354">
        <f t="shared" si="45"/>
        <v>0</v>
      </c>
      <c r="AB69" s="2354"/>
      <c r="AC69" s="2354"/>
      <c r="AD69" s="2355"/>
      <c r="AF69" s="98"/>
      <c r="AG69" s="98"/>
      <c r="AH69" s="98"/>
    </row>
    <row r="70" spans="1:34" s="2356" customFormat="1" ht="24" hidden="1" customHeight="1">
      <c r="A70" s="2353" t="s">
        <v>1415</v>
      </c>
      <c r="B70" s="2353"/>
      <c r="C70" s="2354">
        <f t="shared" ref="C70:AA70" si="46">(C23+C42+C37+C52)*0.45%</f>
        <v>0</v>
      </c>
      <c r="D70" s="2354">
        <f t="shared" si="46"/>
        <v>0</v>
      </c>
      <c r="E70" s="2354" t="e" vm="1">
        <f t="shared" si="46"/>
        <v>#VALUE!</v>
      </c>
      <c r="F70" s="2354">
        <f>(F23+F42+F37+F52)*0.45%</f>
        <v>0</v>
      </c>
      <c r="G70" s="2354">
        <f t="shared" si="46"/>
        <v>0</v>
      </c>
      <c r="H70" s="2354">
        <f t="shared" si="46"/>
        <v>0</v>
      </c>
      <c r="I70" s="2354">
        <f t="shared" si="46"/>
        <v>0</v>
      </c>
      <c r="J70" s="2354">
        <f t="shared" si="46"/>
        <v>0</v>
      </c>
      <c r="K70" s="2354">
        <f t="shared" si="46"/>
        <v>0</v>
      </c>
      <c r="L70" s="2354">
        <f t="shared" si="46"/>
        <v>0</v>
      </c>
      <c r="M70" s="2354">
        <f t="shared" si="46"/>
        <v>0</v>
      </c>
      <c r="N70" s="2354">
        <f t="shared" si="46"/>
        <v>0</v>
      </c>
      <c r="O70" s="2354">
        <f t="shared" si="46"/>
        <v>0</v>
      </c>
      <c r="P70" s="2354">
        <f t="shared" si="46"/>
        <v>0</v>
      </c>
      <c r="Q70" s="2354">
        <f t="shared" si="46"/>
        <v>0</v>
      </c>
      <c r="R70" s="2354">
        <f t="shared" si="46"/>
        <v>0</v>
      </c>
      <c r="S70" s="2354">
        <f t="shared" si="46"/>
        <v>0</v>
      </c>
      <c r="T70" s="2354">
        <f t="shared" si="46"/>
        <v>0</v>
      </c>
      <c r="U70" s="2354">
        <f t="shared" si="46"/>
        <v>0</v>
      </c>
      <c r="V70" s="2354">
        <f t="shared" si="46"/>
        <v>0</v>
      </c>
      <c r="W70" s="2354">
        <f t="shared" si="46"/>
        <v>0</v>
      </c>
      <c r="X70" s="2354">
        <f t="shared" si="46"/>
        <v>0</v>
      </c>
      <c r="Y70" s="2354">
        <f t="shared" si="46"/>
        <v>0</v>
      </c>
      <c r="Z70" s="2354">
        <f t="shared" si="46"/>
        <v>0</v>
      </c>
      <c r="AA70" s="2354">
        <f t="shared" si="46"/>
        <v>0</v>
      </c>
      <c r="AB70" s="2354"/>
      <c r="AC70" s="2354"/>
      <c r="AD70" s="2355"/>
    </row>
    <row r="71" spans="1:34" ht="24" customHeight="1">
      <c r="A71" s="2840"/>
      <c r="B71" s="2840"/>
      <c r="C71" s="2840"/>
      <c r="D71" s="2840"/>
      <c r="E71" s="2840"/>
      <c r="F71" s="2840"/>
      <c r="G71" s="2840"/>
      <c r="H71" s="2840"/>
      <c r="I71" s="2840"/>
      <c r="J71" s="2840"/>
      <c r="K71" s="2840"/>
      <c r="L71" s="2840"/>
      <c r="M71" s="2840"/>
      <c r="N71" s="2840"/>
      <c r="O71" s="2840"/>
      <c r="P71" s="2840"/>
      <c r="Q71" s="2840"/>
      <c r="R71" s="2840"/>
      <c r="S71" s="2840"/>
      <c r="T71" s="2840"/>
      <c r="U71" s="2840"/>
      <c r="V71" s="2840"/>
      <c r="W71" s="2840"/>
      <c r="X71" s="2840"/>
      <c r="Y71" s="2840"/>
      <c r="Z71" s="2840"/>
      <c r="AA71" s="2840"/>
      <c r="AB71" s="2840"/>
      <c r="AC71" s="2840"/>
      <c r="AD71" s="1536"/>
      <c r="AF71" s="2356"/>
      <c r="AG71" s="2356"/>
      <c r="AH71" s="2356"/>
    </row>
    <row r="72" spans="1:34" ht="37" customHeight="1">
      <c r="A72" s="2858" t="s">
        <v>1162</v>
      </c>
      <c r="B72" s="2859"/>
      <c r="C72" s="2859"/>
      <c r="D72" s="2859"/>
      <c r="E72" s="2859"/>
      <c r="F72" s="2859"/>
      <c r="G72" s="2859"/>
      <c r="H72" s="2859"/>
      <c r="I72" s="2859"/>
      <c r="J72" s="2859"/>
      <c r="K72" s="2859"/>
      <c r="L72" s="2859"/>
      <c r="M72" s="2859"/>
      <c r="N72" s="2859"/>
      <c r="O72" s="2859"/>
      <c r="P72" s="2859"/>
      <c r="Q72" s="2859"/>
      <c r="R72" s="2859"/>
      <c r="S72" s="2859"/>
      <c r="T72" s="2859"/>
      <c r="U72" s="2860"/>
      <c r="V72" s="2859"/>
      <c r="W72" s="2859"/>
      <c r="X72" s="2859"/>
      <c r="Y72" s="2859"/>
      <c r="Z72" s="2861"/>
      <c r="AA72" s="2859"/>
      <c r="AB72" s="2859"/>
      <c r="AC72" s="2862"/>
      <c r="AD72" s="1536"/>
    </row>
    <row r="73" spans="1:34" ht="27" customHeight="1">
      <c r="A73" s="2822" t="s">
        <v>1332</v>
      </c>
      <c r="B73" s="2823"/>
      <c r="C73" s="1460" t="str">
        <f t="shared" ref="C73:AC73" si="47">C3</f>
        <v>Øverste leder</v>
      </c>
      <c r="D73" s="1461" t="str">
        <f t="shared" si="47"/>
        <v>Øvrig leder</v>
      </c>
      <c r="E73" s="1461" t="str">
        <f t="shared" si="47"/>
        <v>Lærer</v>
      </c>
      <c r="F73" s="1461" t="str">
        <f t="shared" si="47"/>
        <v>Lærer</v>
      </c>
      <c r="G73" s="1461" t="str">
        <f t="shared" si="47"/>
        <v>Lærer</v>
      </c>
      <c r="H73" s="1461" t="str">
        <f t="shared" si="47"/>
        <v>Lærer</v>
      </c>
      <c r="I73" s="1461" t="str">
        <f t="shared" si="47"/>
        <v>Lærer</v>
      </c>
      <c r="J73" s="1461" t="str">
        <f t="shared" si="47"/>
        <v>Lærer</v>
      </c>
      <c r="K73" s="1461" t="str">
        <f t="shared" si="47"/>
        <v>Lærer</v>
      </c>
      <c r="L73" s="1461" t="str">
        <f t="shared" si="47"/>
        <v>Lærer</v>
      </c>
      <c r="M73" s="1461" t="str">
        <f t="shared" si="47"/>
        <v>Lærer</v>
      </c>
      <c r="N73" s="1461" t="str">
        <f t="shared" si="47"/>
        <v>Lærer</v>
      </c>
      <c r="O73" s="1461" t="str">
        <f t="shared" si="47"/>
        <v>Lærer</v>
      </c>
      <c r="P73" s="1461" t="str">
        <f t="shared" si="47"/>
        <v>Lærer</v>
      </c>
      <c r="Q73" s="1461" t="str">
        <f t="shared" si="47"/>
        <v>Lærer</v>
      </c>
      <c r="R73" s="1461" t="str">
        <f t="shared" si="47"/>
        <v>Lærer</v>
      </c>
      <c r="S73" s="1461" t="str">
        <f t="shared" si="47"/>
        <v>Lærer</v>
      </c>
      <c r="T73" s="1461" t="str">
        <f t="shared" si="47"/>
        <v>Lærer</v>
      </c>
      <c r="U73" s="1461" t="str">
        <f t="shared" si="47"/>
        <v>Lærer</v>
      </c>
      <c r="V73" s="1461" t="str">
        <f t="shared" si="47"/>
        <v>Lærer</v>
      </c>
      <c r="W73" s="1461" t="str">
        <f t="shared" si="47"/>
        <v>Lærer</v>
      </c>
      <c r="X73" s="1461" t="str">
        <f t="shared" si="47"/>
        <v>Lærer</v>
      </c>
      <c r="Y73" s="1461" t="str">
        <f t="shared" si="47"/>
        <v>Lærer</v>
      </c>
      <c r="Z73" s="1461" t="str">
        <f t="shared" si="47"/>
        <v>Lærer</v>
      </c>
      <c r="AA73" s="1461" t="str">
        <f t="shared" si="47"/>
        <v>Lærer</v>
      </c>
      <c r="AB73" s="1461" t="str">
        <f t="shared" si="47"/>
        <v>Timelønnet</v>
      </c>
      <c r="AC73" s="1461" t="str">
        <f t="shared" si="47"/>
        <v>Timelønnet</v>
      </c>
      <c r="AD73" s="1462"/>
    </row>
    <row r="74" spans="1:34" ht="18" customHeight="1">
      <c r="A74" s="2867" t="s">
        <v>1483</v>
      </c>
      <c r="B74" s="2868"/>
      <c r="C74" s="1463"/>
      <c r="D74" s="1464"/>
      <c r="E74" s="1464"/>
      <c r="F74" s="1464"/>
      <c r="G74" s="1464"/>
      <c r="H74" s="1464"/>
      <c r="I74" s="1464"/>
      <c r="J74" s="1464"/>
      <c r="K74" s="1464"/>
      <c r="L74" s="1464"/>
      <c r="M74" s="1464"/>
      <c r="N74" s="1464"/>
      <c r="O74" s="1464"/>
      <c r="P74" s="1464"/>
      <c r="Q74" s="1464"/>
      <c r="R74" s="1464"/>
      <c r="S74" s="1464"/>
      <c r="T74" s="1464"/>
      <c r="U74" s="1464"/>
      <c r="V74" s="1464"/>
      <c r="W74" s="1464"/>
      <c r="X74" s="1464"/>
      <c r="Y74" s="1464"/>
      <c r="Z74" s="1464"/>
      <c r="AA74" s="1464"/>
      <c r="AB74" s="1464"/>
      <c r="AC74" s="1464"/>
      <c r="AD74" s="1411"/>
    </row>
    <row r="75" spans="1:34" ht="18" customHeight="1">
      <c r="A75" s="2867" t="s">
        <v>1164</v>
      </c>
      <c r="B75" s="2868"/>
      <c r="C75" s="1463"/>
      <c r="D75" s="1464"/>
      <c r="E75" s="1464"/>
      <c r="F75" s="1464"/>
      <c r="G75" s="1464"/>
      <c r="H75" s="1464"/>
      <c r="I75" s="1464"/>
      <c r="J75" s="1464"/>
      <c r="K75" s="1464"/>
      <c r="L75" s="1464"/>
      <c r="M75" s="1464"/>
      <c r="N75" s="1464"/>
      <c r="O75" s="1464"/>
      <c r="P75" s="1464"/>
      <c r="Q75" s="1464"/>
      <c r="R75" s="1464"/>
      <c r="S75" s="1464"/>
      <c r="T75" s="1464"/>
      <c r="U75" s="1464"/>
      <c r="V75" s="1464"/>
      <c r="W75" s="1464"/>
      <c r="X75" s="1464"/>
      <c r="Y75" s="1464"/>
      <c r="Z75" s="1464"/>
      <c r="AA75" s="1464"/>
      <c r="AB75" s="1464"/>
      <c r="AC75" s="1464"/>
      <c r="AD75" s="1411"/>
    </row>
    <row r="76" spans="1:34" ht="18" customHeight="1">
      <c r="A76" s="2867" t="s">
        <v>1482</v>
      </c>
      <c r="B76" s="2868"/>
      <c r="C76" s="1463"/>
      <c r="D76" s="1464"/>
      <c r="E76" s="1464"/>
      <c r="F76" s="1464"/>
      <c r="G76" s="1464"/>
      <c r="H76" s="1464"/>
      <c r="I76" s="1464"/>
      <c r="J76" s="1464"/>
      <c r="K76" s="1464"/>
      <c r="L76" s="1464"/>
      <c r="M76" s="1464"/>
      <c r="N76" s="1464"/>
      <c r="O76" s="1464"/>
      <c r="P76" s="1464"/>
      <c r="Q76" s="1464"/>
      <c r="R76" s="1464"/>
      <c r="S76" s="1464"/>
      <c r="T76" s="1464"/>
      <c r="U76" s="1464"/>
      <c r="V76" s="1464"/>
      <c r="W76" s="1464"/>
      <c r="X76" s="1464"/>
      <c r="Y76" s="1464"/>
      <c r="Z76" s="1464"/>
      <c r="AA76" s="1464"/>
      <c r="AB76" s="1464"/>
      <c r="AC76" s="1464"/>
      <c r="AD76" s="1465"/>
    </row>
    <row r="77" spans="1:34" ht="18" hidden="1" customHeight="1">
      <c r="A77" s="1466"/>
      <c r="B77" s="1467"/>
      <c r="C77" s="1463"/>
      <c r="D77" s="1464"/>
      <c r="E77" s="1464"/>
      <c r="F77" s="1464"/>
      <c r="G77" s="1464"/>
      <c r="H77" s="1464"/>
      <c r="I77" s="1464"/>
      <c r="J77" s="1464"/>
      <c r="K77" s="1464"/>
      <c r="L77" s="1464"/>
      <c r="M77" s="1464"/>
      <c r="N77" s="1464"/>
      <c r="O77" s="1464"/>
      <c r="P77" s="1464"/>
      <c r="Q77" s="1464"/>
      <c r="R77" s="1464"/>
      <c r="S77" s="1464"/>
      <c r="T77" s="1464"/>
      <c r="U77" s="1464"/>
      <c r="V77" s="1464"/>
      <c r="W77" s="1464"/>
      <c r="X77" s="1464"/>
      <c r="Y77" s="1464"/>
      <c r="Z77" s="1464"/>
      <c r="AA77" s="1464"/>
      <c r="AB77" s="1464"/>
      <c r="AC77" s="1464"/>
      <c r="AD77" s="1465"/>
    </row>
    <row r="78" spans="1:34" ht="18" customHeight="1">
      <c r="A78" s="2867" t="s">
        <v>1316</v>
      </c>
      <c r="B78" s="2868"/>
      <c r="C78" s="1463"/>
      <c r="D78" s="1464"/>
      <c r="E78" s="1464"/>
      <c r="F78" s="1464"/>
      <c r="G78" s="1464"/>
      <c r="H78" s="1464"/>
      <c r="I78" s="1464"/>
      <c r="J78" s="1464"/>
      <c r="K78" s="1464"/>
      <c r="L78" s="1464"/>
      <c r="M78" s="1464"/>
      <c r="N78" s="1464"/>
      <c r="O78" s="1464"/>
      <c r="P78" s="1464"/>
      <c r="Q78" s="1464"/>
      <c r="R78" s="1464"/>
      <c r="S78" s="1464"/>
      <c r="T78" s="1464"/>
      <c r="U78" s="1464"/>
      <c r="V78" s="1464"/>
      <c r="W78" s="1464"/>
      <c r="X78" s="1464"/>
      <c r="Y78" s="1464"/>
      <c r="Z78" s="1464"/>
      <c r="AA78" s="1464"/>
      <c r="AB78" s="1464"/>
      <c r="AC78" s="1464"/>
      <c r="AD78" s="1465"/>
    </row>
    <row r="79" spans="1:34" ht="18" customHeight="1">
      <c r="A79" s="2867" t="s">
        <v>1484</v>
      </c>
      <c r="B79" s="2868"/>
      <c r="C79" s="1463"/>
      <c r="D79" s="1464"/>
      <c r="E79" s="1464"/>
      <c r="F79" s="1464"/>
      <c r="G79" s="1464"/>
      <c r="H79" s="1464"/>
      <c r="I79" s="1464"/>
      <c r="J79" s="1464"/>
      <c r="K79" s="1464"/>
      <c r="L79" s="1464"/>
      <c r="M79" s="1464"/>
      <c r="N79" s="1464"/>
      <c r="O79" s="1464"/>
      <c r="P79" s="1464"/>
      <c r="Q79" s="1464"/>
      <c r="R79" s="1464"/>
      <c r="S79" s="1464"/>
      <c r="T79" s="1464"/>
      <c r="U79" s="1464"/>
      <c r="V79" s="1464"/>
      <c r="W79" s="1464"/>
      <c r="X79" s="1464"/>
      <c r="Y79" s="1464"/>
      <c r="Z79" s="1464"/>
      <c r="AA79" s="1464"/>
      <c r="AB79" s="1464"/>
      <c r="AC79" s="1464"/>
      <c r="AD79" s="1411"/>
    </row>
    <row r="80" spans="1:34" ht="18" customHeight="1">
      <c r="A80" s="2867" t="s">
        <v>1165</v>
      </c>
      <c r="B80" s="2868"/>
      <c r="C80" s="1463"/>
      <c r="D80" s="1464"/>
      <c r="E80" s="1464"/>
      <c r="F80" s="1464"/>
      <c r="G80" s="1464"/>
      <c r="H80" s="1464"/>
      <c r="I80" s="1464"/>
      <c r="J80" s="1464"/>
      <c r="K80" s="1464"/>
      <c r="L80" s="1464"/>
      <c r="M80" s="1464"/>
      <c r="N80" s="1464"/>
      <c r="O80" s="1464"/>
      <c r="P80" s="1464"/>
      <c r="Q80" s="1464"/>
      <c r="R80" s="1464"/>
      <c r="S80" s="1464"/>
      <c r="T80" s="1464"/>
      <c r="U80" s="1464"/>
      <c r="V80" s="1464"/>
      <c r="W80" s="1464"/>
      <c r="X80" s="1464"/>
      <c r="Y80" s="1464"/>
      <c r="Z80" s="1464"/>
      <c r="AA80" s="1464"/>
      <c r="AB80" s="1464"/>
      <c r="AC80" s="1464"/>
      <c r="AD80" s="1411"/>
    </row>
    <row r="81" spans="1:32" ht="18" customHeight="1" thickBot="1">
      <c r="A81" s="2867" t="s">
        <v>915</v>
      </c>
      <c r="B81" s="2868"/>
      <c r="C81" s="1463"/>
      <c r="D81" s="1464"/>
      <c r="E81" s="1464"/>
      <c r="F81" s="1464"/>
      <c r="G81" s="1464"/>
      <c r="H81" s="1464"/>
      <c r="I81" s="1464"/>
      <c r="J81" s="1464"/>
      <c r="K81" s="1464"/>
      <c r="L81" s="1464"/>
      <c r="M81" s="1464"/>
      <c r="N81" s="1464"/>
      <c r="O81" s="1464"/>
      <c r="P81" s="1464"/>
      <c r="Q81" s="1464"/>
      <c r="R81" s="1464"/>
      <c r="S81" s="1464"/>
      <c r="T81" s="1464"/>
      <c r="U81" s="1464"/>
      <c r="V81" s="1464"/>
      <c r="W81" s="1464"/>
      <c r="X81" s="1464"/>
      <c r="Y81" s="1464"/>
      <c r="Z81" s="1464"/>
      <c r="AA81" s="1464"/>
      <c r="AB81" s="1464"/>
      <c r="AC81" s="1464"/>
      <c r="AD81" s="1411"/>
    </row>
    <row r="82" spans="1:32" ht="14" thickBot="1">
      <c r="A82" s="1537" t="str">
        <f>"Samlet refusion for  "&amp;budgetår</f>
        <v>Samlet refusion for  2024</v>
      </c>
      <c r="B82" s="1538"/>
      <c r="C82" s="1468">
        <f t="shared" ref="C82:AC82" si="48">SUM(C74:C81)</f>
        <v>0</v>
      </c>
      <c r="D82" s="1468">
        <f t="shared" si="48"/>
        <v>0</v>
      </c>
      <c r="E82" s="1468">
        <f t="shared" si="48"/>
        <v>0</v>
      </c>
      <c r="F82" s="1468">
        <f t="shared" si="48"/>
        <v>0</v>
      </c>
      <c r="G82" s="1468">
        <f t="shared" si="48"/>
        <v>0</v>
      </c>
      <c r="H82" s="1468">
        <f t="shared" si="48"/>
        <v>0</v>
      </c>
      <c r="I82" s="1468">
        <f t="shared" si="48"/>
        <v>0</v>
      </c>
      <c r="J82" s="1468">
        <f t="shared" si="48"/>
        <v>0</v>
      </c>
      <c r="K82" s="1468">
        <f t="shared" si="48"/>
        <v>0</v>
      </c>
      <c r="L82" s="1468">
        <f t="shared" si="48"/>
        <v>0</v>
      </c>
      <c r="M82" s="1468">
        <f t="shared" si="48"/>
        <v>0</v>
      </c>
      <c r="N82" s="1468">
        <f t="shared" si="48"/>
        <v>0</v>
      </c>
      <c r="O82" s="1468">
        <f t="shared" si="48"/>
        <v>0</v>
      </c>
      <c r="P82" s="1468">
        <f t="shared" si="48"/>
        <v>0</v>
      </c>
      <c r="Q82" s="1468">
        <f t="shared" si="48"/>
        <v>0</v>
      </c>
      <c r="R82" s="1468">
        <f t="shared" si="48"/>
        <v>0</v>
      </c>
      <c r="S82" s="1468">
        <f t="shared" si="48"/>
        <v>0</v>
      </c>
      <c r="T82" s="1468">
        <f t="shared" si="48"/>
        <v>0</v>
      </c>
      <c r="U82" s="1468">
        <f t="shared" ref="U82" si="49">SUM(U74:U81)</f>
        <v>0</v>
      </c>
      <c r="V82" s="1468">
        <f t="shared" ref="V82:X82" si="50">SUM(V74:V81)</f>
        <v>0</v>
      </c>
      <c r="W82" s="1468">
        <f t="shared" si="50"/>
        <v>0</v>
      </c>
      <c r="X82" s="1468">
        <f t="shared" si="50"/>
        <v>0</v>
      </c>
      <c r="Y82" s="1468">
        <f t="shared" ref="Y82" si="51">SUM(Y74:Y81)</f>
        <v>0</v>
      </c>
      <c r="Z82" s="1469"/>
      <c r="AA82" s="1468">
        <f t="shared" si="48"/>
        <v>0</v>
      </c>
      <c r="AB82" s="1468">
        <f t="shared" si="48"/>
        <v>0</v>
      </c>
      <c r="AC82" s="1468">
        <f t="shared" si="48"/>
        <v>0</v>
      </c>
      <c r="AD82" s="1539">
        <f>SUM(C82:AC82)</f>
        <v>0</v>
      </c>
    </row>
    <row r="83" spans="1:32" ht="19" customHeight="1" thickBot="1">
      <c r="A83" s="1540" t="str">
        <f>"Indtast forventet refusion for  "&amp;budgetår+1</f>
        <v>Indtast forventet refusion for  2025</v>
      </c>
      <c r="B83" s="1470"/>
      <c r="C83" s="1471"/>
      <c r="D83" s="1471"/>
      <c r="E83" s="1471"/>
      <c r="F83" s="1471"/>
      <c r="G83" s="1471"/>
      <c r="H83" s="1471"/>
      <c r="I83" s="1471"/>
      <c r="J83" s="1471"/>
      <c r="K83" s="1471"/>
      <c r="L83" s="1471"/>
      <c r="M83" s="1471"/>
      <c r="N83" s="1471"/>
      <c r="O83" s="1471"/>
      <c r="P83" s="1471"/>
      <c r="Q83" s="1471"/>
      <c r="R83" s="1471"/>
      <c r="S83" s="1471"/>
      <c r="T83" s="1471"/>
      <c r="U83" s="1471"/>
      <c r="V83" s="1471"/>
      <c r="W83" s="1471"/>
      <c r="X83" s="1471"/>
      <c r="Y83" s="1471"/>
      <c r="Z83" s="1472"/>
      <c r="AA83" s="1471"/>
      <c r="AB83" s="1471"/>
      <c r="AC83" s="1471"/>
      <c r="AD83" s="1473">
        <f>SUM(C83:AC83)</f>
        <v>0</v>
      </c>
    </row>
    <row r="84" spans="1:32" ht="19" customHeight="1">
      <c r="A84" s="2841"/>
      <c r="B84" s="2841"/>
      <c r="C84" s="2841"/>
      <c r="D84" s="2841"/>
      <c r="E84" s="2841"/>
      <c r="F84" s="2841"/>
      <c r="G84" s="2841"/>
      <c r="H84" s="2841"/>
      <c r="I84" s="2841"/>
      <c r="J84" s="2841"/>
      <c r="K84" s="2841"/>
      <c r="L84" s="2841"/>
      <c r="M84" s="2841"/>
      <c r="N84" s="2841"/>
      <c r="O84" s="2841"/>
      <c r="P84" s="2841"/>
      <c r="Q84" s="2841"/>
      <c r="R84" s="2841"/>
      <c r="S84" s="2841"/>
      <c r="T84" s="2841"/>
      <c r="U84" s="2841"/>
      <c r="V84" s="2841"/>
      <c r="W84" s="2841"/>
      <c r="X84" s="2841"/>
      <c r="Y84" s="2841"/>
      <c r="Z84" s="2841"/>
      <c r="AA84" s="2841"/>
      <c r="AB84" s="2841"/>
      <c r="AC84" s="2841"/>
      <c r="AD84" s="2841"/>
    </row>
    <row r="85" spans="1:32" ht="37" customHeight="1">
      <c r="A85" s="2869" t="s">
        <v>1333</v>
      </c>
      <c r="B85" s="2870"/>
      <c r="C85" s="2870"/>
      <c r="D85" s="2870"/>
      <c r="E85" s="2870"/>
      <c r="F85" s="2870"/>
      <c r="G85" s="2870"/>
      <c r="H85" s="2870"/>
      <c r="I85" s="2870"/>
      <c r="J85" s="2870"/>
      <c r="K85" s="2870"/>
      <c r="L85" s="2870"/>
      <c r="M85" s="2870"/>
      <c r="N85" s="2870"/>
      <c r="O85" s="2870"/>
      <c r="P85" s="2870"/>
      <c r="Q85" s="2870"/>
      <c r="R85" s="2870"/>
      <c r="S85" s="2870"/>
      <c r="T85" s="2870"/>
      <c r="U85" s="2870"/>
      <c r="V85" s="2870"/>
      <c r="W85" s="2870"/>
      <c r="X85" s="2870"/>
      <c r="Y85" s="2870"/>
      <c r="Z85" s="2871"/>
      <c r="AA85" s="2870"/>
      <c r="AB85" s="2870"/>
      <c r="AC85" s="2872"/>
      <c r="AD85" s="1536"/>
      <c r="AE85" s="2300"/>
    </row>
    <row r="86" spans="1:32" ht="56" customHeight="1" thickBot="1">
      <c r="A86" s="2875" t="s">
        <v>1163</v>
      </c>
      <c r="B86" s="2876"/>
      <c r="C86" s="1474">
        <v>1</v>
      </c>
      <c r="D86" s="1474">
        <v>1</v>
      </c>
      <c r="E86" s="1474">
        <v>1</v>
      </c>
      <c r="F86" s="1474">
        <v>1</v>
      </c>
      <c r="G86" s="1474">
        <v>1</v>
      </c>
      <c r="H86" s="1474">
        <v>1</v>
      </c>
      <c r="I86" s="1474">
        <v>1</v>
      </c>
      <c r="J86" s="1474">
        <v>1</v>
      </c>
      <c r="K86" s="1474">
        <v>1</v>
      </c>
      <c r="L86" s="1474">
        <v>1</v>
      </c>
      <c r="M86" s="1474">
        <v>1</v>
      </c>
      <c r="N86" s="1474">
        <v>1</v>
      </c>
      <c r="O86" s="1474">
        <v>1</v>
      </c>
      <c r="P86" s="1474">
        <v>1</v>
      </c>
      <c r="Q86" s="1474">
        <v>1</v>
      </c>
      <c r="R86" s="1474">
        <v>1</v>
      </c>
      <c r="S86" s="1474">
        <v>1</v>
      </c>
      <c r="T86" s="1474">
        <v>1</v>
      </c>
      <c r="U86" s="1474">
        <v>1</v>
      </c>
      <c r="V86" s="1474">
        <v>1</v>
      </c>
      <c r="W86" s="1474">
        <v>1</v>
      </c>
      <c r="X86" s="1474">
        <v>1</v>
      </c>
      <c r="Y86" s="1474">
        <v>1</v>
      </c>
      <c r="Z86" s="1475">
        <v>1</v>
      </c>
      <c r="AA86" s="1474">
        <v>1</v>
      </c>
      <c r="AB86" s="1474">
        <v>1</v>
      </c>
      <c r="AC86" s="1474">
        <v>1</v>
      </c>
      <c r="AD86" s="1411"/>
      <c r="AE86" s="2299"/>
    </row>
    <row r="87" spans="1:32" ht="25" hidden="1" customHeight="1">
      <c r="A87" s="1476"/>
      <c r="B87" s="1477" t="s">
        <v>1410</v>
      </c>
      <c r="C87" s="1541">
        <f t="shared" ref="C87:S87" si="52">C44/D16*Prc</f>
        <v>0</v>
      </c>
      <c r="D87" s="1541">
        <f t="shared" si="52"/>
        <v>0</v>
      </c>
      <c r="E87" s="1541" t="e" vm="1">
        <f t="shared" si="52"/>
        <v>#VALUE!</v>
      </c>
      <c r="F87" s="1541">
        <f t="shared" si="52"/>
        <v>0</v>
      </c>
      <c r="G87" s="1541">
        <f t="shared" si="52"/>
        <v>0</v>
      </c>
      <c r="H87" s="1541">
        <f t="shared" si="52"/>
        <v>0</v>
      </c>
      <c r="I87" s="1541">
        <f t="shared" si="52"/>
        <v>0</v>
      </c>
      <c r="J87" s="1541">
        <f t="shared" si="52"/>
        <v>0</v>
      </c>
      <c r="K87" s="1541">
        <f t="shared" si="52"/>
        <v>0</v>
      </c>
      <c r="L87" s="1541">
        <f t="shared" si="52"/>
        <v>0</v>
      </c>
      <c r="M87" s="1541">
        <f t="shared" si="52"/>
        <v>0</v>
      </c>
      <c r="N87" s="1541">
        <f t="shared" si="52"/>
        <v>0</v>
      </c>
      <c r="O87" s="1541">
        <f t="shared" si="52"/>
        <v>0</v>
      </c>
      <c r="P87" s="1541">
        <f t="shared" si="52"/>
        <v>0</v>
      </c>
      <c r="Q87" s="1541">
        <f t="shared" si="52"/>
        <v>0</v>
      </c>
      <c r="R87" s="1541">
        <f t="shared" si="52"/>
        <v>0</v>
      </c>
      <c r="S87" s="1541">
        <f t="shared" si="52"/>
        <v>0</v>
      </c>
      <c r="T87" s="1541">
        <f>T44/V16*Prc</f>
        <v>0</v>
      </c>
      <c r="U87" s="1541">
        <f>U44/W16*Prc</f>
        <v>0</v>
      </c>
      <c r="V87" s="1541">
        <f>V44/W16*Prc</f>
        <v>0</v>
      </c>
      <c r="W87" s="1541">
        <f>W44/X16*Prc</f>
        <v>0</v>
      </c>
      <c r="X87" s="1541">
        <f>X44/Y16*Prc</f>
        <v>0</v>
      </c>
      <c r="Y87" s="1541">
        <f>Y44/AA16*Prc</f>
        <v>0</v>
      </c>
      <c r="Z87" s="1542"/>
      <c r="AA87" s="1541">
        <f>AA44/AB16*Prc</f>
        <v>0</v>
      </c>
      <c r="AB87" s="1543"/>
      <c r="AC87" s="1543"/>
      <c r="AD87" s="1411"/>
      <c r="AE87" s="1156"/>
    </row>
    <row r="88" spans="1:32" ht="43" hidden="1" customHeight="1" thickBot="1">
      <c r="A88" s="1478"/>
      <c r="B88" s="1479" t="s">
        <v>1411</v>
      </c>
      <c r="C88" s="1480">
        <f t="shared" ref="C88:S88" si="53">C52/D16*Prc</f>
        <v>0</v>
      </c>
      <c r="D88" s="1480">
        <f t="shared" si="53"/>
        <v>0</v>
      </c>
      <c r="E88" s="1480" t="e" vm="1">
        <f t="shared" si="53"/>
        <v>#VALUE!</v>
      </c>
      <c r="F88" s="1480">
        <f t="shared" si="53"/>
        <v>0</v>
      </c>
      <c r="G88" s="1480">
        <f t="shared" si="53"/>
        <v>0</v>
      </c>
      <c r="H88" s="1480">
        <f t="shared" si="53"/>
        <v>0</v>
      </c>
      <c r="I88" s="1480">
        <f t="shared" si="53"/>
        <v>0</v>
      </c>
      <c r="J88" s="1480">
        <f t="shared" si="53"/>
        <v>0</v>
      </c>
      <c r="K88" s="1480">
        <f t="shared" si="53"/>
        <v>0</v>
      </c>
      <c r="L88" s="1480">
        <f t="shared" si="53"/>
        <v>0</v>
      </c>
      <c r="M88" s="1480">
        <f t="shared" si="53"/>
        <v>0</v>
      </c>
      <c r="N88" s="1480">
        <f t="shared" si="53"/>
        <v>0</v>
      </c>
      <c r="O88" s="1480">
        <f t="shared" si="53"/>
        <v>0</v>
      </c>
      <c r="P88" s="1480">
        <f t="shared" si="53"/>
        <v>0</v>
      </c>
      <c r="Q88" s="1480">
        <f t="shared" si="53"/>
        <v>0</v>
      </c>
      <c r="R88" s="1480">
        <f t="shared" si="53"/>
        <v>0</v>
      </c>
      <c r="S88" s="1480">
        <f t="shared" si="53"/>
        <v>0</v>
      </c>
      <c r="T88" s="1480">
        <f>T52/V16*Prc</f>
        <v>0</v>
      </c>
      <c r="U88" s="1480">
        <f>U52/W16*Prc</f>
        <v>0</v>
      </c>
      <c r="V88" s="1480">
        <f>V52/W16*Prc</f>
        <v>0</v>
      </c>
      <c r="W88" s="1480">
        <f>W52/X16*Prc</f>
        <v>0</v>
      </c>
      <c r="X88" s="1480">
        <f>X52/Y16*Prc</f>
        <v>0</v>
      </c>
      <c r="Y88" s="1480">
        <f>Y52/AA16*Prc</f>
        <v>0</v>
      </c>
      <c r="Z88" s="1481"/>
      <c r="AA88" s="1480">
        <f>AA52/AB16*Prc</f>
        <v>0</v>
      </c>
      <c r="AB88" s="1544"/>
      <c r="AC88" s="1544"/>
      <c r="AD88" s="1411"/>
      <c r="AE88" s="1157"/>
      <c r="AF88" s="2300"/>
    </row>
    <row r="89" spans="1:32" ht="25" hidden="1" customHeight="1">
      <c r="A89" s="1478"/>
      <c r="B89" s="1479" t="s">
        <v>1245</v>
      </c>
      <c r="C89" s="1480">
        <f t="shared" ref="C89:Y89" si="54">C53/3*2</f>
        <v>0</v>
      </c>
      <c r="D89" s="1480">
        <f t="shared" si="54"/>
        <v>0</v>
      </c>
      <c r="E89" s="1480">
        <f t="shared" si="54"/>
        <v>198</v>
      </c>
      <c r="F89" s="1480">
        <f t="shared" si="54"/>
        <v>0</v>
      </c>
      <c r="G89" s="1480">
        <f t="shared" si="54"/>
        <v>0</v>
      </c>
      <c r="H89" s="1480">
        <f t="shared" si="54"/>
        <v>0</v>
      </c>
      <c r="I89" s="1480">
        <f t="shared" si="54"/>
        <v>0</v>
      </c>
      <c r="J89" s="1480">
        <f t="shared" si="54"/>
        <v>0</v>
      </c>
      <c r="K89" s="1480">
        <f t="shared" si="54"/>
        <v>0</v>
      </c>
      <c r="L89" s="1480">
        <f t="shared" si="54"/>
        <v>0</v>
      </c>
      <c r="M89" s="1480">
        <f t="shared" si="54"/>
        <v>0</v>
      </c>
      <c r="N89" s="1480">
        <f t="shared" si="54"/>
        <v>0</v>
      </c>
      <c r="O89" s="1480">
        <f t="shared" si="54"/>
        <v>0</v>
      </c>
      <c r="P89" s="1480">
        <f t="shared" si="54"/>
        <v>0</v>
      </c>
      <c r="Q89" s="1480">
        <f t="shared" si="54"/>
        <v>0</v>
      </c>
      <c r="R89" s="1480">
        <f t="shared" si="54"/>
        <v>0</v>
      </c>
      <c r="S89" s="1480">
        <f t="shared" si="54"/>
        <v>0</v>
      </c>
      <c r="T89" s="1480">
        <f t="shared" si="54"/>
        <v>0</v>
      </c>
      <c r="U89" s="1480">
        <f t="shared" si="54"/>
        <v>0</v>
      </c>
      <c r="V89" s="1480">
        <f t="shared" si="54"/>
        <v>0</v>
      </c>
      <c r="W89" s="1480">
        <f t="shared" si="54"/>
        <v>0</v>
      </c>
      <c r="X89" s="1480">
        <f t="shared" si="54"/>
        <v>0</v>
      </c>
      <c r="Y89" s="1480">
        <f t="shared" si="54"/>
        <v>0</v>
      </c>
      <c r="Z89" s="1481"/>
      <c r="AA89" s="1480">
        <f>AA53/3*2</f>
        <v>0</v>
      </c>
      <c r="AB89" s="1544"/>
      <c r="AC89" s="1544"/>
      <c r="AD89" s="1411"/>
      <c r="AE89" s="1158"/>
      <c r="AF89" s="2299"/>
    </row>
    <row r="90" spans="1:32" ht="25" hidden="1" customHeight="1" thickBot="1">
      <c r="A90" s="1478"/>
      <c r="B90" s="1479" t="s">
        <v>1244</v>
      </c>
      <c r="C90" s="1480">
        <f t="shared" ref="C90:Y90" si="55">IF(C9&gt;0,(C87*4)*1.5%,0)</f>
        <v>0</v>
      </c>
      <c r="D90" s="1480">
        <f t="shared" si="55"/>
        <v>0</v>
      </c>
      <c r="E90" s="1480" t="e" vm="1">
        <f t="shared" si="55"/>
        <v>#VALUE!</v>
      </c>
      <c r="F90" s="1480">
        <f t="shared" si="55"/>
        <v>0</v>
      </c>
      <c r="G90" s="1480">
        <f t="shared" si="55"/>
        <v>0</v>
      </c>
      <c r="H90" s="1480">
        <f t="shared" si="55"/>
        <v>0</v>
      </c>
      <c r="I90" s="1480">
        <f t="shared" si="55"/>
        <v>0</v>
      </c>
      <c r="J90" s="1480">
        <f t="shared" si="55"/>
        <v>0</v>
      </c>
      <c r="K90" s="1480">
        <f t="shared" si="55"/>
        <v>0</v>
      </c>
      <c r="L90" s="1480">
        <f t="shared" si="55"/>
        <v>0</v>
      </c>
      <c r="M90" s="1480">
        <f t="shared" si="55"/>
        <v>0</v>
      </c>
      <c r="N90" s="1480">
        <f t="shared" si="55"/>
        <v>0</v>
      </c>
      <c r="O90" s="1480">
        <f t="shared" si="55"/>
        <v>0</v>
      </c>
      <c r="P90" s="1480">
        <f t="shared" si="55"/>
        <v>0</v>
      </c>
      <c r="Q90" s="1480">
        <f t="shared" si="55"/>
        <v>0</v>
      </c>
      <c r="R90" s="1480">
        <f t="shared" si="55"/>
        <v>0</v>
      </c>
      <c r="S90" s="1480">
        <f t="shared" si="55"/>
        <v>0</v>
      </c>
      <c r="T90" s="1480">
        <f t="shared" si="55"/>
        <v>0</v>
      </c>
      <c r="U90" s="1480">
        <f t="shared" si="55"/>
        <v>0</v>
      </c>
      <c r="V90" s="1480">
        <f t="shared" si="55"/>
        <v>0</v>
      </c>
      <c r="W90" s="1480">
        <f t="shared" si="55"/>
        <v>0</v>
      </c>
      <c r="X90" s="1480">
        <f t="shared" si="55"/>
        <v>0</v>
      </c>
      <c r="Y90" s="1480">
        <f t="shared" si="55"/>
        <v>0</v>
      </c>
      <c r="Z90" s="1481"/>
      <c r="AA90" s="1480">
        <f>IF(AA9&gt;0,(AA87*4)*1.5%,0)</f>
        <v>0</v>
      </c>
      <c r="AB90" s="1544"/>
      <c r="AC90" s="1544"/>
      <c r="AD90" s="1411"/>
      <c r="AE90" s="1155"/>
      <c r="AF90" s="1161"/>
    </row>
    <row r="91" spans="1:32" ht="25" customHeight="1" thickBot="1">
      <c r="A91" s="2877">
        <f>budgetår-1</f>
        <v>2023</v>
      </c>
      <c r="B91" s="1479" t="str">
        <f>"Antal skyldige feriedage og særlige feriedage pr. 31.12."&amp;budgetår-1&amp;". (Anvendes til feriepengeforpligtigelse)"</f>
        <v>Antal skyldige feriedage og særlige feriedage pr. 31.12.2023. (Anvendes til feriepengeforpligtigelse)</v>
      </c>
      <c r="C91" s="1480"/>
      <c r="D91" s="1480"/>
      <c r="E91" s="1480"/>
      <c r="F91" s="1480"/>
      <c r="G91" s="1480"/>
      <c r="H91" s="1480"/>
      <c r="I91" s="1480"/>
      <c r="J91" s="1480"/>
      <c r="K91" s="1480"/>
      <c r="L91" s="1480"/>
      <c r="M91" s="1480"/>
      <c r="N91" s="1480"/>
      <c r="O91" s="1480"/>
      <c r="P91" s="1480"/>
      <c r="Q91" s="1480"/>
      <c r="R91" s="1480"/>
      <c r="S91" s="1480"/>
      <c r="T91" s="1480"/>
      <c r="U91" s="1480"/>
      <c r="V91" s="1480"/>
      <c r="W91" s="1480"/>
      <c r="X91" s="1480"/>
      <c r="Y91" s="1480"/>
      <c r="Z91" s="1481"/>
      <c r="AA91" s="1545"/>
      <c r="AB91" s="1544"/>
      <c r="AC91" s="1544"/>
      <c r="AD91" s="1411"/>
      <c r="AE91" s="112" t="s">
        <v>348</v>
      </c>
      <c r="AF91" s="652"/>
    </row>
    <row r="92" spans="1:32" ht="27" customHeight="1" thickBot="1">
      <c r="A92" s="2878"/>
      <c r="B92" s="1482" t="str">
        <f>"Feriepengeforpligtigelse "&amp;budgetår-1&amp;""</f>
        <v>Feriepengeforpligtigelse 2023</v>
      </c>
      <c r="C92" s="1483" cm="1">
        <f t="array" ref="C92">IF(C91&gt;0,SUM((C87:C89)/21*C91)+C90)*C86</f>
        <v>0</v>
      </c>
      <c r="D92" s="1483" cm="1">
        <f t="array" ref="D92">IF(D91&gt;0,SUM((D87:D89)/21*D91)+D90)*D86</f>
        <v>0</v>
      </c>
      <c r="E92" s="1483" cm="1">
        <f t="array" ref="E92">IF(E91&gt;0,SUM((E87:E89)/21*E91)+E90)*E86</f>
        <v>0</v>
      </c>
      <c r="F92" s="1483" cm="1">
        <f t="array" ref="F92">IF(F91&gt;0,SUM((F87:F89)/21*F91)+F90)*F86</f>
        <v>0</v>
      </c>
      <c r="G92" s="1483" cm="1">
        <f t="array" ref="G92">IF(G91&gt;0,SUM((G87:G89)/21*G91)+G90)*G86</f>
        <v>0</v>
      </c>
      <c r="H92" s="1483" cm="1">
        <f t="array" ref="H92">IF(H91&gt;0,SUM((H87:H89)/21*H91)+H90)*H86</f>
        <v>0</v>
      </c>
      <c r="I92" s="1483" cm="1">
        <f t="array" ref="I92">IF(I91&gt;0,SUM((I87:I89)/21*I91)+I90)*I86</f>
        <v>0</v>
      </c>
      <c r="J92" s="1483" cm="1">
        <f t="array" ref="J92">IF(J91&gt;0,SUM((J87:J89)/21*J91)+J90)*J86</f>
        <v>0</v>
      </c>
      <c r="K92" s="1483" cm="1">
        <f t="array" ref="K92">IF(K91&gt;0,SUM((K87:K89)/21*K91)+K90)*K86</f>
        <v>0</v>
      </c>
      <c r="L92" s="1483" cm="1">
        <f t="array" ref="L92">IF(L91&gt;0,SUM((L87:L89)/21*L91)+L90)*L86</f>
        <v>0</v>
      </c>
      <c r="M92" s="1483" cm="1">
        <f t="array" ref="M92">IF(M91&gt;0,SUM((M87:M89)/21*M91)+M90)*M86</f>
        <v>0</v>
      </c>
      <c r="N92" s="1483" cm="1">
        <f t="array" ref="N92">IF(N91&gt;0,SUM((N87:N89)/21*N91)+N90)*N86</f>
        <v>0</v>
      </c>
      <c r="O92" s="1483" cm="1">
        <f t="array" ref="O92">IF(O91&gt;0,SUM((O87:O89)/21*O91)+O90)*O86</f>
        <v>0</v>
      </c>
      <c r="P92" s="1483" cm="1">
        <f t="array" ref="P92">IF(P91&gt;0,SUM((P87:P89)/21*P91)+P90)*P86</f>
        <v>0</v>
      </c>
      <c r="Q92" s="1483" cm="1">
        <f t="array" ref="Q92">IF(Q91&gt;0,SUM((Q87:Q89)/21*Q91)+Q90)*Q86</f>
        <v>0</v>
      </c>
      <c r="R92" s="1483" cm="1">
        <f t="array" ref="R92">IF(R91&gt;0,SUM((R87:R89)/21*R91)+R90)*R86</f>
        <v>0</v>
      </c>
      <c r="S92" s="1483" cm="1">
        <f t="array" ref="S92">IF(S91&gt;0,SUM((S87:S89)/21*S91)+S90)*S86</f>
        <v>0</v>
      </c>
      <c r="T92" s="1483" cm="1">
        <f t="array" ref="T92">IF(T91&gt;0,SUM((T87:T89)/21*T91)+T90)*T86</f>
        <v>0</v>
      </c>
      <c r="U92" s="1483" cm="1">
        <f t="array" ref="U92">IF(U91&gt;0,SUM((U87:U89)/21*U91)+U90)*U86</f>
        <v>0</v>
      </c>
      <c r="V92" s="1483" cm="1">
        <f t="array" ref="V92">IF(V91&gt;0,SUM((V87:V89)/21*V91)+V90)*V86</f>
        <v>0</v>
      </c>
      <c r="W92" s="1483" cm="1">
        <f t="array" ref="W92">IF(W91&gt;0,SUM((W87:W89)/21*W91)+W90)*W86</f>
        <v>0</v>
      </c>
      <c r="X92" s="1483" cm="1">
        <f t="array" ref="X92">IF(X91&gt;0,SUM((X87:X89)/21*X91)+X90)*X86</f>
        <v>0</v>
      </c>
      <c r="Y92" s="1483" cm="1">
        <f t="array" ref="Y92">IF(Y91&gt;0,SUM((Y87:Y89)/21*Y91)+Y90)*Y86</f>
        <v>0</v>
      </c>
      <c r="Z92" s="1483" cm="1">
        <f t="array" ref="Z92">IF(Z91&gt;0,SUM((Z87:Z89)/21*Z91)+Z90)*Z86</f>
        <v>0</v>
      </c>
      <c r="AA92" s="1483" cm="1">
        <f t="array" ref="AA92">IF(AA91&gt;0,SUM((AA87:AA89)/21*AA91)+AA90)*AA86</f>
        <v>0</v>
      </c>
      <c r="AB92" s="1544"/>
      <c r="AC92" s="1544"/>
      <c r="AD92" s="1411"/>
      <c r="AE92" s="114" t="str">
        <f>"Feriepengeforpligtigelse "&amp;budgetår-1</f>
        <v>Feriepengeforpligtigelse 2023</v>
      </c>
      <c r="AF92" s="115">
        <f>SUM(C92:AA92)</f>
        <v>0</v>
      </c>
    </row>
    <row r="93" spans="1:32" ht="27" customHeight="1" thickBot="1">
      <c r="A93" s="2873">
        <f>budgetår</f>
        <v>2024</v>
      </c>
      <c r="B93" s="2215" t="str">
        <f>"Antal skyldige feriedage og særlige feriedage pr. 31.12."&amp;budgetår&amp;". (Anvendes til feriepengeforpligtigelse)"</f>
        <v>Antal skyldige feriedage og særlige feriedage pr. 31.12.2024. (Anvendes til feriepengeforpligtigelse)</v>
      </c>
      <c r="C93" s="1480"/>
      <c r="D93" s="1480"/>
      <c r="E93" s="1480"/>
      <c r="F93" s="1485"/>
      <c r="G93" s="1480"/>
      <c r="H93" s="1485"/>
      <c r="I93" s="1480"/>
      <c r="J93" s="1480"/>
      <c r="K93" s="1480"/>
      <c r="L93" s="1485"/>
      <c r="M93" s="1485"/>
      <c r="N93" s="1485"/>
      <c r="O93" s="1485"/>
      <c r="P93" s="1485"/>
      <c r="Q93" s="1485"/>
      <c r="R93" s="1480"/>
      <c r="S93" s="1480"/>
      <c r="T93" s="1485"/>
      <c r="U93" s="1480"/>
      <c r="V93" s="1480"/>
      <c r="W93" s="1480"/>
      <c r="X93" s="1480"/>
      <c r="Y93" s="1480"/>
      <c r="Z93" s="1486"/>
      <c r="AA93" s="1487"/>
      <c r="AB93" s="1488"/>
      <c r="AC93" s="1488"/>
      <c r="AD93" s="1411"/>
      <c r="AE93" s="113" t="str">
        <f>"Feriepengeforpligtigelse "&amp;budgetår</f>
        <v>Feriepengeforpligtigelse 2024</v>
      </c>
      <c r="AF93" s="653">
        <f>SUM(C94:AA94)</f>
        <v>0</v>
      </c>
    </row>
    <row r="94" spans="1:32" ht="29" customHeight="1" thickBot="1">
      <c r="A94" s="2874"/>
      <c r="B94" s="1489" t="str">
        <f>"Feriepengeforpligtigelse "&amp;budgetår&amp;""</f>
        <v>Feriepengeforpligtigelse 2024</v>
      </c>
      <c r="C94" s="1490">
        <f t="shared" ref="C94:AA94" si="56">IF(C93&gt;0,(((C54-C50)/21*C93)+((C44*4)*1.5%))*C86,0)</f>
        <v>0</v>
      </c>
      <c r="D94" s="1490">
        <f t="shared" si="56"/>
        <v>0</v>
      </c>
      <c r="E94" s="1490">
        <f t="shared" si="56"/>
        <v>0</v>
      </c>
      <c r="F94" s="1490">
        <f t="shared" si="56"/>
        <v>0</v>
      </c>
      <c r="G94" s="1490">
        <f t="shared" si="56"/>
        <v>0</v>
      </c>
      <c r="H94" s="1490">
        <f t="shared" si="56"/>
        <v>0</v>
      </c>
      <c r="I94" s="1490">
        <f t="shared" si="56"/>
        <v>0</v>
      </c>
      <c r="J94" s="1490">
        <f t="shared" si="56"/>
        <v>0</v>
      </c>
      <c r="K94" s="1490">
        <f t="shared" si="56"/>
        <v>0</v>
      </c>
      <c r="L94" s="1490">
        <f t="shared" si="56"/>
        <v>0</v>
      </c>
      <c r="M94" s="1490">
        <f t="shared" si="56"/>
        <v>0</v>
      </c>
      <c r="N94" s="1490">
        <f t="shared" si="56"/>
        <v>0</v>
      </c>
      <c r="O94" s="1490">
        <f t="shared" si="56"/>
        <v>0</v>
      </c>
      <c r="P94" s="1490">
        <f t="shared" si="56"/>
        <v>0</v>
      </c>
      <c r="Q94" s="1490">
        <f t="shared" si="56"/>
        <v>0</v>
      </c>
      <c r="R94" s="1490">
        <f t="shared" si="56"/>
        <v>0</v>
      </c>
      <c r="S94" s="1490">
        <f t="shared" si="56"/>
        <v>0</v>
      </c>
      <c r="T94" s="1490">
        <f t="shared" si="56"/>
        <v>0</v>
      </c>
      <c r="U94" s="1490">
        <f t="shared" si="56"/>
        <v>0</v>
      </c>
      <c r="V94" s="1490">
        <f t="shared" si="56"/>
        <v>0</v>
      </c>
      <c r="W94" s="1490">
        <f t="shared" si="56"/>
        <v>0</v>
      </c>
      <c r="X94" s="1490">
        <f t="shared" si="56"/>
        <v>0</v>
      </c>
      <c r="Y94" s="1490">
        <f t="shared" si="56"/>
        <v>0</v>
      </c>
      <c r="Z94" s="1490">
        <f t="shared" si="56"/>
        <v>0</v>
      </c>
      <c r="AA94" s="1490">
        <f t="shared" si="56"/>
        <v>0</v>
      </c>
      <c r="AB94" s="1490">
        <f>IF(AB67&gt;0,AB67*15%*AB86,0)</f>
        <v>0</v>
      </c>
      <c r="AC94" s="1490">
        <f>IF(AC67&gt;0,AC67*15%*AC86,0)</f>
        <v>0</v>
      </c>
      <c r="AD94" s="1411"/>
      <c r="AE94" s="1393" t="str">
        <f>"Forskel indgår i lønudgift  "&amp;budgetår</f>
        <v>Forskel indgår i lønudgift  2024</v>
      </c>
      <c r="AF94" s="1162">
        <f>AF93-AF92</f>
        <v>0</v>
      </c>
    </row>
    <row r="95" spans="1:32" ht="27" customHeight="1" thickBot="1">
      <c r="A95" s="2865">
        <f>budgetår+1</f>
        <v>2025</v>
      </c>
      <c r="B95" s="1606" t="str">
        <f>"Antal skyldige feriedage og særlige feriedage pr. 31.12."&amp;budgetår+1&amp;". (Anvendes til feriepengeforpligtigelse)"</f>
        <v>Antal skyldige feriedage og særlige feriedage pr. 31.12.2025. (Anvendes til feriepengeforpligtigelse)</v>
      </c>
      <c r="C95" s="1480"/>
      <c r="D95" s="1480"/>
      <c r="E95" s="1480"/>
      <c r="F95" s="1485"/>
      <c r="G95" s="1480"/>
      <c r="H95" s="1485"/>
      <c r="I95" s="1480"/>
      <c r="J95" s="1480"/>
      <c r="K95" s="1480"/>
      <c r="L95" s="1485"/>
      <c r="M95" s="1485"/>
      <c r="N95" s="1480"/>
      <c r="O95" s="1480"/>
      <c r="P95" s="1480"/>
      <c r="Q95" s="1480"/>
      <c r="R95" s="1480"/>
      <c r="S95" s="1480"/>
      <c r="T95" s="1485"/>
      <c r="U95" s="1480"/>
      <c r="V95" s="1480"/>
      <c r="W95" s="1480"/>
      <c r="X95" s="1480"/>
      <c r="Y95" s="1480"/>
      <c r="Z95" s="1486"/>
      <c r="AA95" s="1487"/>
      <c r="AB95" s="1488"/>
      <c r="AC95" s="1488"/>
      <c r="AD95" s="1411"/>
      <c r="AE95" s="113" t="str">
        <f>"Feriepengeforpligtigelse "&amp;budgetår+1</f>
        <v>Feriepengeforpligtigelse 2025</v>
      </c>
      <c r="AF95" s="653">
        <f>SUM(C96:AA96)</f>
        <v>0</v>
      </c>
    </row>
    <row r="96" spans="1:32" ht="28" customHeight="1" thickBot="1">
      <c r="A96" s="2866"/>
      <c r="B96" s="1491" t="str">
        <f>"Feriepengeforpligtigelse "&amp;budgetår+1&amp;""</f>
        <v>Feriepengeforpligtigelse 2025</v>
      </c>
      <c r="C96" s="1492">
        <f t="shared" ref="C96:AA96" si="57">IF(C95&gt;0,(((C54-C50)/21*C95)+((C44*4)*1.5%))*C86*(1+fremskrivning),0)</f>
        <v>0</v>
      </c>
      <c r="D96" s="1492">
        <f t="shared" si="57"/>
        <v>0</v>
      </c>
      <c r="E96" s="1492">
        <f t="shared" si="57"/>
        <v>0</v>
      </c>
      <c r="F96" s="1492">
        <f t="shared" si="57"/>
        <v>0</v>
      </c>
      <c r="G96" s="1492">
        <f t="shared" si="57"/>
        <v>0</v>
      </c>
      <c r="H96" s="1492">
        <f t="shared" si="57"/>
        <v>0</v>
      </c>
      <c r="I96" s="1492">
        <f t="shared" si="57"/>
        <v>0</v>
      </c>
      <c r="J96" s="1492">
        <f t="shared" si="57"/>
        <v>0</v>
      </c>
      <c r="K96" s="1492">
        <f t="shared" si="57"/>
        <v>0</v>
      </c>
      <c r="L96" s="1492">
        <f t="shared" si="57"/>
        <v>0</v>
      </c>
      <c r="M96" s="1492">
        <f t="shared" si="57"/>
        <v>0</v>
      </c>
      <c r="N96" s="1492">
        <f t="shared" si="57"/>
        <v>0</v>
      </c>
      <c r="O96" s="1492">
        <f t="shared" si="57"/>
        <v>0</v>
      </c>
      <c r="P96" s="1492">
        <f t="shared" si="57"/>
        <v>0</v>
      </c>
      <c r="Q96" s="1492">
        <f t="shared" si="57"/>
        <v>0</v>
      </c>
      <c r="R96" s="1492">
        <f t="shared" si="57"/>
        <v>0</v>
      </c>
      <c r="S96" s="1492">
        <f t="shared" si="57"/>
        <v>0</v>
      </c>
      <c r="T96" s="1492">
        <f t="shared" si="57"/>
        <v>0</v>
      </c>
      <c r="U96" s="1492">
        <f t="shared" si="57"/>
        <v>0</v>
      </c>
      <c r="V96" s="1492">
        <f t="shared" si="57"/>
        <v>0</v>
      </c>
      <c r="W96" s="1492">
        <f t="shared" si="57"/>
        <v>0</v>
      </c>
      <c r="X96" s="1492">
        <f t="shared" si="57"/>
        <v>0</v>
      </c>
      <c r="Y96" s="1492">
        <f t="shared" si="57"/>
        <v>0</v>
      </c>
      <c r="Z96" s="1492">
        <f t="shared" si="57"/>
        <v>0</v>
      </c>
      <c r="AA96" s="1492">
        <f t="shared" si="57"/>
        <v>0</v>
      </c>
      <c r="AB96" s="1492">
        <f>IF(AB68&gt;0,AB68*15%*AB86,0)</f>
        <v>0</v>
      </c>
      <c r="AC96" s="1492">
        <f>IF(AC68&gt;0,AC68*15%*AC86,0)</f>
        <v>0</v>
      </c>
      <c r="AD96" s="1411"/>
      <c r="AE96" s="1393" t="str">
        <f>"Forskel indgår i budgetår "&amp;budgetår+1</f>
        <v>Forskel indgår i budgetår 2025</v>
      </c>
      <c r="AF96" s="1162">
        <f>AF95-AF93</f>
        <v>0</v>
      </c>
    </row>
    <row r="97" spans="1:30" ht="19" customHeight="1" thickBo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row>
    <row r="98" spans="1:30" ht="19.5" customHeight="1">
      <c r="A98" s="1493" t="str">
        <f>"Lønafhængige omkostninger "&amp;budgetår&amp;""</f>
        <v>Lønafhængige omkostninger 2024</v>
      </c>
      <c r="B98" s="1494"/>
      <c r="C98" s="1495" t="str">
        <f t="shared" ref="C98:AC98" si="58">C3</f>
        <v>Øverste leder</v>
      </c>
      <c r="D98" s="1495" t="str">
        <f t="shared" si="58"/>
        <v>Øvrig leder</v>
      </c>
      <c r="E98" s="1495" t="str">
        <f t="shared" si="58"/>
        <v>Lærer</v>
      </c>
      <c r="F98" s="1495" t="str">
        <f t="shared" si="58"/>
        <v>Lærer</v>
      </c>
      <c r="G98" s="1495" t="str">
        <f t="shared" si="58"/>
        <v>Lærer</v>
      </c>
      <c r="H98" s="1495" t="str">
        <f t="shared" si="58"/>
        <v>Lærer</v>
      </c>
      <c r="I98" s="1495" t="str">
        <f t="shared" si="58"/>
        <v>Lærer</v>
      </c>
      <c r="J98" s="1495" t="str">
        <f t="shared" si="58"/>
        <v>Lærer</v>
      </c>
      <c r="K98" s="1495" t="str">
        <f t="shared" si="58"/>
        <v>Lærer</v>
      </c>
      <c r="L98" s="1495" t="str">
        <f t="shared" si="58"/>
        <v>Lærer</v>
      </c>
      <c r="M98" s="1495" t="str">
        <f t="shared" si="58"/>
        <v>Lærer</v>
      </c>
      <c r="N98" s="1495" t="str">
        <f t="shared" si="58"/>
        <v>Lærer</v>
      </c>
      <c r="O98" s="1495" t="str">
        <f t="shared" si="58"/>
        <v>Lærer</v>
      </c>
      <c r="P98" s="1495" t="str">
        <f t="shared" si="58"/>
        <v>Lærer</v>
      </c>
      <c r="Q98" s="1495" t="str">
        <f t="shared" si="58"/>
        <v>Lærer</v>
      </c>
      <c r="R98" s="1495" t="str">
        <f t="shared" si="58"/>
        <v>Lærer</v>
      </c>
      <c r="S98" s="1495" t="str">
        <f t="shared" si="58"/>
        <v>Lærer</v>
      </c>
      <c r="T98" s="1495" t="str">
        <f t="shared" si="58"/>
        <v>Lærer</v>
      </c>
      <c r="U98" s="1495" t="str">
        <f t="shared" si="58"/>
        <v>Lærer</v>
      </c>
      <c r="V98" s="1495" t="str">
        <f t="shared" si="58"/>
        <v>Lærer</v>
      </c>
      <c r="W98" s="1495" t="str">
        <f t="shared" si="58"/>
        <v>Lærer</v>
      </c>
      <c r="X98" s="1495" t="str">
        <f t="shared" si="58"/>
        <v>Lærer</v>
      </c>
      <c r="Y98" s="1495" t="str">
        <f t="shared" si="58"/>
        <v>Lærer</v>
      </c>
      <c r="Z98" s="1495" t="str">
        <f t="shared" si="58"/>
        <v>Lærer</v>
      </c>
      <c r="AA98" s="1495" t="str">
        <f t="shared" si="58"/>
        <v>Lærer</v>
      </c>
      <c r="AB98" s="1495" t="str">
        <f t="shared" si="58"/>
        <v>Timelønnet</v>
      </c>
      <c r="AC98" s="1495" t="str">
        <f t="shared" si="58"/>
        <v>Timelønnet</v>
      </c>
      <c r="AD98" s="1496"/>
    </row>
    <row r="99" spans="1:30" ht="19.5" customHeight="1">
      <c r="A99" s="1497">
        <v>1</v>
      </c>
      <c r="B99" s="1498" t="s">
        <v>573</v>
      </c>
      <c r="C99" s="1499">
        <f t="shared" ref="C99:AA99" si="59">C9*C18</f>
        <v>0</v>
      </c>
      <c r="D99" s="1499">
        <f t="shared" si="59"/>
        <v>0</v>
      </c>
      <c r="E99" s="1499">
        <f t="shared" si="59"/>
        <v>12</v>
      </c>
      <c r="F99" s="1499">
        <f t="shared" si="59"/>
        <v>0</v>
      </c>
      <c r="G99" s="1499">
        <f t="shared" si="59"/>
        <v>0</v>
      </c>
      <c r="H99" s="1499">
        <f t="shared" si="59"/>
        <v>0</v>
      </c>
      <c r="I99" s="1499">
        <f t="shared" si="59"/>
        <v>0</v>
      </c>
      <c r="J99" s="1499">
        <f t="shared" si="59"/>
        <v>0</v>
      </c>
      <c r="K99" s="1499">
        <f t="shared" si="59"/>
        <v>0</v>
      </c>
      <c r="L99" s="1499">
        <f t="shared" si="59"/>
        <v>0</v>
      </c>
      <c r="M99" s="1499">
        <f t="shared" si="59"/>
        <v>0</v>
      </c>
      <c r="N99" s="1499">
        <f t="shared" si="59"/>
        <v>0</v>
      </c>
      <c r="O99" s="1499">
        <f t="shared" si="59"/>
        <v>0</v>
      </c>
      <c r="P99" s="1499">
        <f t="shared" si="59"/>
        <v>0</v>
      </c>
      <c r="Q99" s="1499">
        <f t="shared" si="59"/>
        <v>0</v>
      </c>
      <c r="R99" s="1499">
        <f t="shared" si="59"/>
        <v>0</v>
      </c>
      <c r="S99" s="1499">
        <f t="shared" si="59"/>
        <v>0</v>
      </c>
      <c r="T99" s="1499">
        <f t="shared" si="59"/>
        <v>0</v>
      </c>
      <c r="U99" s="1499">
        <f t="shared" si="59"/>
        <v>0</v>
      </c>
      <c r="V99" s="1499">
        <f t="shared" si="59"/>
        <v>0</v>
      </c>
      <c r="W99" s="1499">
        <f t="shared" si="59"/>
        <v>0</v>
      </c>
      <c r="X99" s="1499">
        <f t="shared" si="59"/>
        <v>0</v>
      </c>
      <c r="Y99" s="1499">
        <f t="shared" si="59"/>
        <v>0</v>
      </c>
      <c r="Z99" s="1499">
        <f t="shared" si="59"/>
        <v>0</v>
      </c>
      <c r="AA99" s="1499">
        <f t="shared" si="59"/>
        <v>0</v>
      </c>
      <c r="AB99" s="1499">
        <f>($AB$5/160.33)*AB9</f>
        <v>0</v>
      </c>
      <c r="AC99" s="1499">
        <f>($AC$5/160.33)*AC9</f>
        <v>0</v>
      </c>
      <c r="AD99" s="1496"/>
    </row>
    <row r="100" spans="1:30" ht="19.5" customHeight="1">
      <c r="A100" s="798">
        <f>A99+1</f>
        <v>2</v>
      </c>
      <c r="B100" s="793" t="str">
        <f>"Flexlønsordning: "&amp;FlexBidr&amp;" kr. pr. læ-årsværk"</f>
        <v>Flexlønsordning: 6053,46 kr. pr. læ-årsværk</v>
      </c>
      <c r="C100" s="1154">
        <f t="shared" ref="C100:AB100" si="60">FlexBidr*C99/12</f>
        <v>0</v>
      </c>
      <c r="D100" s="1154">
        <f t="shared" si="60"/>
        <v>0</v>
      </c>
      <c r="E100" s="1154">
        <f t="shared" si="60"/>
        <v>6053.4599999999991</v>
      </c>
      <c r="F100" s="1154">
        <f t="shared" si="60"/>
        <v>0</v>
      </c>
      <c r="G100" s="1154">
        <f t="shared" si="60"/>
        <v>0</v>
      </c>
      <c r="H100" s="1154">
        <f t="shared" si="60"/>
        <v>0</v>
      </c>
      <c r="I100" s="1154">
        <f t="shared" si="60"/>
        <v>0</v>
      </c>
      <c r="J100" s="1154">
        <f t="shared" si="60"/>
        <v>0</v>
      </c>
      <c r="K100" s="1154">
        <f t="shared" si="60"/>
        <v>0</v>
      </c>
      <c r="L100" s="1154">
        <f t="shared" si="60"/>
        <v>0</v>
      </c>
      <c r="M100" s="1154">
        <f t="shared" si="60"/>
        <v>0</v>
      </c>
      <c r="N100" s="1154">
        <f t="shared" si="60"/>
        <v>0</v>
      </c>
      <c r="O100" s="1154">
        <f t="shared" si="60"/>
        <v>0</v>
      </c>
      <c r="P100" s="1154">
        <f t="shared" si="60"/>
        <v>0</v>
      </c>
      <c r="Q100" s="1154">
        <f t="shared" si="60"/>
        <v>0</v>
      </c>
      <c r="R100" s="1154">
        <f t="shared" si="60"/>
        <v>0</v>
      </c>
      <c r="S100" s="1154">
        <f t="shared" si="60"/>
        <v>0</v>
      </c>
      <c r="T100" s="1154">
        <f t="shared" si="60"/>
        <v>0</v>
      </c>
      <c r="U100" s="1154">
        <f t="shared" ref="U100" si="61">FlexBidr*U99/12</f>
        <v>0</v>
      </c>
      <c r="V100" s="1154">
        <f t="shared" ref="V100:X100" si="62">FlexBidr*V99/12</f>
        <v>0</v>
      </c>
      <c r="W100" s="1154">
        <f t="shared" si="62"/>
        <v>0</v>
      </c>
      <c r="X100" s="1154">
        <f t="shared" si="62"/>
        <v>0</v>
      </c>
      <c r="Y100" s="1154">
        <f t="shared" ref="Y100:Z100" si="63">FlexBidr*Y99/12</f>
        <v>0</v>
      </c>
      <c r="Z100" s="1154">
        <f t="shared" si="63"/>
        <v>0</v>
      </c>
      <c r="AA100" s="1154">
        <f t="shared" si="60"/>
        <v>0</v>
      </c>
      <c r="AB100" s="1154">
        <f t="shared" si="60"/>
        <v>0</v>
      </c>
      <c r="AC100" s="1154">
        <f>FlexBidr*AC99/12</f>
        <v>0</v>
      </c>
      <c r="AD100" s="378">
        <f>SUM(C100:AC100)</f>
        <v>6053.4599999999991</v>
      </c>
    </row>
    <row r="101" spans="1:30" ht="19.5" customHeight="1" thickBot="1">
      <c r="A101" s="798">
        <f>A100+1</f>
        <v>3</v>
      </c>
      <c r="B101" s="793" t="str">
        <f>"Samlet betaling.: "&amp;AER&amp;" kr. pr. årsværk"</f>
        <v>Samlet betaling.: 4408,145 kr. pr. årsværk</v>
      </c>
      <c r="C101" s="377">
        <f t="shared" ref="C101:AB101" si="64">C99*AER/12</f>
        <v>0</v>
      </c>
      <c r="D101" s="113">
        <f t="shared" si="64"/>
        <v>0</v>
      </c>
      <c r="E101" s="113">
        <f t="shared" si="64"/>
        <v>4408.1449999999995</v>
      </c>
      <c r="F101" s="113">
        <f t="shared" si="64"/>
        <v>0</v>
      </c>
      <c r="G101" s="113">
        <f t="shared" si="64"/>
        <v>0</v>
      </c>
      <c r="H101" s="113">
        <f t="shared" si="64"/>
        <v>0</v>
      </c>
      <c r="I101" s="113">
        <f t="shared" si="64"/>
        <v>0</v>
      </c>
      <c r="J101" s="113">
        <f t="shared" si="64"/>
        <v>0</v>
      </c>
      <c r="K101" s="113">
        <f t="shared" si="64"/>
        <v>0</v>
      </c>
      <c r="L101" s="113">
        <f t="shared" si="64"/>
        <v>0</v>
      </c>
      <c r="M101" s="113">
        <f t="shared" si="64"/>
        <v>0</v>
      </c>
      <c r="N101" s="113">
        <f t="shared" si="64"/>
        <v>0</v>
      </c>
      <c r="O101" s="113">
        <f t="shared" si="64"/>
        <v>0</v>
      </c>
      <c r="P101" s="113">
        <f t="shared" si="64"/>
        <v>0</v>
      </c>
      <c r="Q101" s="113">
        <f t="shared" si="64"/>
        <v>0</v>
      </c>
      <c r="R101" s="113">
        <f t="shared" si="64"/>
        <v>0</v>
      </c>
      <c r="S101" s="113">
        <f t="shared" si="64"/>
        <v>0</v>
      </c>
      <c r="T101" s="113">
        <f t="shared" si="64"/>
        <v>0</v>
      </c>
      <c r="U101" s="113">
        <f t="shared" ref="U101" si="65">U99*AER/12</f>
        <v>0</v>
      </c>
      <c r="V101" s="113">
        <f t="shared" ref="V101:X101" si="66">V99*AER/12</f>
        <v>0</v>
      </c>
      <c r="W101" s="113">
        <f t="shared" si="66"/>
        <v>0</v>
      </c>
      <c r="X101" s="113">
        <f t="shared" si="66"/>
        <v>0</v>
      </c>
      <c r="Y101" s="113">
        <f t="shared" ref="Y101:Z101" si="67">Y99*AER/12</f>
        <v>0</v>
      </c>
      <c r="Z101" s="113">
        <f t="shared" si="67"/>
        <v>0</v>
      </c>
      <c r="AA101" s="113">
        <f t="shared" si="64"/>
        <v>0</v>
      </c>
      <c r="AB101" s="113">
        <f t="shared" si="64"/>
        <v>0</v>
      </c>
      <c r="AC101" s="113">
        <f>AC99*AER/12</f>
        <v>0</v>
      </c>
      <c r="AD101" s="378">
        <f>SUM(C101:AC101)</f>
        <v>4408.1449999999995</v>
      </c>
    </row>
    <row r="102" spans="1:30" ht="19.5" customHeight="1" thickBot="1">
      <c r="A102" s="798">
        <f>A101+1</f>
        <v>4</v>
      </c>
      <c r="B102" s="794" t="s">
        <v>1127</v>
      </c>
      <c r="C102" s="352">
        <f>C100+C101</f>
        <v>0</v>
      </c>
      <c r="D102" s="352">
        <f t="shared" ref="D102:AB102" si="68">D100+D101</f>
        <v>0</v>
      </c>
      <c r="E102" s="352">
        <f t="shared" si="68"/>
        <v>10461.605</v>
      </c>
      <c r="F102" s="352">
        <f>F100+F101</f>
        <v>0</v>
      </c>
      <c r="G102" s="352">
        <f t="shared" si="68"/>
        <v>0</v>
      </c>
      <c r="H102" s="352">
        <f t="shared" si="68"/>
        <v>0</v>
      </c>
      <c r="I102" s="352">
        <f t="shared" si="68"/>
        <v>0</v>
      </c>
      <c r="J102" s="352">
        <f t="shared" si="68"/>
        <v>0</v>
      </c>
      <c r="K102" s="352">
        <f t="shared" si="68"/>
        <v>0</v>
      </c>
      <c r="L102" s="352">
        <f t="shared" si="68"/>
        <v>0</v>
      </c>
      <c r="M102" s="352">
        <f t="shared" si="68"/>
        <v>0</v>
      </c>
      <c r="N102" s="352">
        <f t="shared" si="68"/>
        <v>0</v>
      </c>
      <c r="O102" s="352">
        <f t="shared" si="68"/>
        <v>0</v>
      </c>
      <c r="P102" s="352">
        <f t="shared" si="68"/>
        <v>0</v>
      </c>
      <c r="Q102" s="352">
        <f t="shared" si="68"/>
        <v>0</v>
      </c>
      <c r="R102" s="352">
        <f t="shared" si="68"/>
        <v>0</v>
      </c>
      <c r="S102" s="352">
        <f t="shared" si="68"/>
        <v>0</v>
      </c>
      <c r="T102" s="352">
        <f t="shared" si="68"/>
        <v>0</v>
      </c>
      <c r="U102" s="352">
        <f t="shared" ref="U102" si="69">U100+U101</f>
        <v>0</v>
      </c>
      <c r="V102" s="352">
        <f t="shared" ref="V102:X102" si="70">V100+V101</f>
        <v>0</v>
      </c>
      <c r="W102" s="352">
        <f t="shared" si="70"/>
        <v>0</v>
      </c>
      <c r="X102" s="352">
        <f t="shared" si="70"/>
        <v>0</v>
      </c>
      <c r="Y102" s="352">
        <f t="shared" ref="Y102:Z102" si="71">Y100+Y101</f>
        <v>0</v>
      </c>
      <c r="Z102" s="352">
        <f t="shared" si="71"/>
        <v>0</v>
      </c>
      <c r="AA102" s="352">
        <f t="shared" si="68"/>
        <v>0</v>
      </c>
      <c r="AB102" s="352">
        <f t="shared" si="68"/>
        <v>0</v>
      </c>
      <c r="AC102" s="352">
        <f>AC100+AC101</f>
        <v>0</v>
      </c>
      <c r="AD102" s="379">
        <f>+AD100+AD101</f>
        <v>10461.605</v>
      </c>
    </row>
    <row r="103" spans="1:30" ht="19.5" customHeight="1">
      <c r="A103" s="1493" t="str">
        <f>"Lønafhængige omkostninger "&amp;budgetår+1&amp;""</f>
        <v>Lønafhængige omkostninger 2025</v>
      </c>
      <c r="B103" s="1494"/>
      <c r="C103" s="1495" t="str">
        <f>C98</f>
        <v>Øverste leder</v>
      </c>
      <c r="D103" s="1495" t="str">
        <f t="shared" ref="D103:AC103" si="72">D98</f>
        <v>Øvrig leder</v>
      </c>
      <c r="E103" s="1495" t="str">
        <f t="shared" si="72"/>
        <v>Lærer</v>
      </c>
      <c r="F103" s="1495" t="str">
        <f t="shared" si="72"/>
        <v>Lærer</v>
      </c>
      <c r="G103" s="1495" t="str">
        <f t="shared" si="72"/>
        <v>Lærer</v>
      </c>
      <c r="H103" s="1495" t="str">
        <f t="shared" si="72"/>
        <v>Lærer</v>
      </c>
      <c r="I103" s="1495" t="str">
        <f t="shared" si="72"/>
        <v>Lærer</v>
      </c>
      <c r="J103" s="1495" t="str">
        <f t="shared" si="72"/>
        <v>Lærer</v>
      </c>
      <c r="K103" s="1495" t="str">
        <f t="shared" si="72"/>
        <v>Lærer</v>
      </c>
      <c r="L103" s="1495" t="str">
        <f t="shared" si="72"/>
        <v>Lærer</v>
      </c>
      <c r="M103" s="1495" t="str">
        <f t="shared" si="72"/>
        <v>Lærer</v>
      </c>
      <c r="N103" s="1495" t="str">
        <f t="shared" si="72"/>
        <v>Lærer</v>
      </c>
      <c r="O103" s="1495" t="str">
        <f t="shared" si="72"/>
        <v>Lærer</v>
      </c>
      <c r="P103" s="1495" t="str">
        <f t="shared" si="72"/>
        <v>Lærer</v>
      </c>
      <c r="Q103" s="1495" t="str">
        <f t="shared" si="72"/>
        <v>Lærer</v>
      </c>
      <c r="R103" s="1495" t="str">
        <f t="shared" si="72"/>
        <v>Lærer</v>
      </c>
      <c r="S103" s="1495" t="str">
        <f t="shared" si="72"/>
        <v>Lærer</v>
      </c>
      <c r="T103" s="1495" t="str">
        <f t="shared" si="72"/>
        <v>Lærer</v>
      </c>
      <c r="U103" s="1495" t="str">
        <f t="shared" si="72"/>
        <v>Lærer</v>
      </c>
      <c r="V103" s="1495" t="str">
        <f t="shared" si="72"/>
        <v>Lærer</v>
      </c>
      <c r="W103" s="1495" t="str">
        <f t="shared" si="72"/>
        <v>Lærer</v>
      </c>
      <c r="X103" s="1495" t="str">
        <f t="shared" si="72"/>
        <v>Lærer</v>
      </c>
      <c r="Y103" s="1495" t="str">
        <f t="shared" si="72"/>
        <v>Lærer</v>
      </c>
      <c r="Z103" s="1495" t="str">
        <f t="shared" si="72"/>
        <v>Lærer</v>
      </c>
      <c r="AA103" s="1495" t="str">
        <f t="shared" si="72"/>
        <v>Lærer</v>
      </c>
      <c r="AB103" s="1495" t="str">
        <f t="shared" si="72"/>
        <v>Timelønnet</v>
      </c>
      <c r="AC103" s="1495" t="str">
        <f t="shared" si="72"/>
        <v>Timelønnet</v>
      </c>
      <c r="AD103" s="1496"/>
    </row>
    <row r="104" spans="1:30" ht="19.5" customHeight="1">
      <c r="A104" s="1497">
        <v>1</v>
      </c>
      <c r="B104" s="1498" t="s">
        <v>573</v>
      </c>
      <c r="C104" s="1499">
        <f t="shared" ref="C104:AA104" si="73">C10*C18</f>
        <v>0</v>
      </c>
      <c r="D104" s="1499">
        <f t="shared" si="73"/>
        <v>0</v>
      </c>
      <c r="E104" s="1499">
        <f t="shared" si="73"/>
        <v>0</v>
      </c>
      <c r="F104" s="1499">
        <f t="shared" si="73"/>
        <v>0</v>
      </c>
      <c r="G104" s="1499">
        <f t="shared" si="73"/>
        <v>0</v>
      </c>
      <c r="H104" s="1499">
        <f t="shared" si="73"/>
        <v>0</v>
      </c>
      <c r="I104" s="1499">
        <f t="shared" si="73"/>
        <v>0</v>
      </c>
      <c r="J104" s="1499">
        <f t="shared" si="73"/>
        <v>0</v>
      </c>
      <c r="K104" s="1499">
        <f t="shared" si="73"/>
        <v>0</v>
      </c>
      <c r="L104" s="1499">
        <f t="shared" si="73"/>
        <v>0</v>
      </c>
      <c r="M104" s="1499">
        <f t="shared" si="73"/>
        <v>0</v>
      </c>
      <c r="N104" s="1499">
        <f t="shared" si="73"/>
        <v>0</v>
      </c>
      <c r="O104" s="1499">
        <f t="shared" si="73"/>
        <v>0</v>
      </c>
      <c r="P104" s="1499">
        <f t="shared" si="73"/>
        <v>0</v>
      </c>
      <c r="Q104" s="1499">
        <f t="shared" si="73"/>
        <v>0</v>
      </c>
      <c r="R104" s="1499">
        <f t="shared" si="73"/>
        <v>0</v>
      </c>
      <c r="S104" s="1499">
        <f t="shared" si="73"/>
        <v>0</v>
      </c>
      <c r="T104" s="1499">
        <f t="shared" si="73"/>
        <v>0</v>
      </c>
      <c r="U104" s="1499">
        <f t="shared" si="73"/>
        <v>0</v>
      </c>
      <c r="V104" s="1499">
        <f t="shared" si="73"/>
        <v>0</v>
      </c>
      <c r="W104" s="1499">
        <f t="shared" si="73"/>
        <v>0</v>
      </c>
      <c r="X104" s="1499">
        <f t="shared" si="73"/>
        <v>0</v>
      </c>
      <c r="Y104" s="1499">
        <f t="shared" si="73"/>
        <v>0</v>
      </c>
      <c r="Z104" s="1499">
        <f t="shared" si="73"/>
        <v>0</v>
      </c>
      <c r="AA104" s="1499">
        <f t="shared" si="73"/>
        <v>0</v>
      </c>
      <c r="AB104" s="1499">
        <f>($AB$5/160.33)*AB10</f>
        <v>0</v>
      </c>
      <c r="AC104" s="1499">
        <f>($AC$5/160.33)*AC10</f>
        <v>0</v>
      </c>
      <c r="AD104" s="1496"/>
    </row>
    <row r="105" spans="1:30" ht="19.5" customHeight="1">
      <c r="A105" s="798">
        <f>A104+1</f>
        <v>2</v>
      </c>
      <c r="B105" s="793" t="str">
        <f>"Flexlønsordning: "&amp;FlexBidr&amp;" kr. pr. læ-årsværk"</f>
        <v>Flexlønsordning: 6053,46 kr. pr. læ-årsværk</v>
      </c>
      <c r="C105" s="1154">
        <f t="shared" ref="C105:AA105" si="74">FlexBidr*(1+fremskrivning)*C104/12</f>
        <v>0</v>
      </c>
      <c r="D105" s="1154">
        <f t="shared" si="74"/>
        <v>0</v>
      </c>
      <c r="E105" s="1154">
        <f t="shared" si="74"/>
        <v>0</v>
      </c>
      <c r="F105" s="1154">
        <f t="shared" si="74"/>
        <v>0</v>
      </c>
      <c r="G105" s="1154">
        <f t="shared" si="74"/>
        <v>0</v>
      </c>
      <c r="H105" s="1154">
        <f t="shared" si="74"/>
        <v>0</v>
      </c>
      <c r="I105" s="1154">
        <f t="shared" si="74"/>
        <v>0</v>
      </c>
      <c r="J105" s="1154">
        <f t="shared" si="74"/>
        <v>0</v>
      </c>
      <c r="K105" s="1154">
        <f t="shared" si="74"/>
        <v>0</v>
      </c>
      <c r="L105" s="1154">
        <f t="shared" si="74"/>
        <v>0</v>
      </c>
      <c r="M105" s="1154">
        <f t="shared" si="74"/>
        <v>0</v>
      </c>
      <c r="N105" s="1154">
        <f t="shared" si="74"/>
        <v>0</v>
      </c>
      <c r="O105" s="1154">
        <f t="shared" si="74"/>
        <v>0</v>
      </c>
      <c r="P105" s="1154">
        <f t="shared" si="74"/>
        <v>0</v>
      </c>
      <c r="Q105" s="1154">
        <f t="shared" si="74"/>
        <v>0</v>
      </c>
      <c r="R105" s="1154">
        <f t="shared" si="74"/>
        <v>0</v>
      </c>
      <c r="S105" s="1154">
        <f t="shared" si="74"/>
        <v>0</v>
      </c>
      <c r="T105" s="1154">
        <f t="shared" si="74"/>
        <v>0</v>
      </c>
      <c r="U105" s="1154">
        <f t="shared" si="74"/>
        <v>0</v>
      </c>
      <c r="V105" s="1154">
        <f t="shared" si="74"/>
        <v>0</v>
      </c>
      <c r="W105" s="1154">
        <f t="shared" si="74"/>
        <v>0</v>
      </c>
      <c r="X105" s="1154">
        <f t="shared" si="74"/>
        <v>0</v>
      </c>
      <c r="Y105" s="1154">
        <f t="shared" si="74"/>
        <v>0</v>
      </c>
      <c r="Z105" s="1154">
        <f t="shared" si="74"/>
        <v>0</v>
      </c>
      <c r="AA105" s="1154">
        <f t="shared" si="74"/>
        <v>0</v>
      </c>
      <c r="AB105" s="1154">
        <f>FlexBidr*AB104/12*(fremskrivning+1)</f>
        <v>0</v>
      </c>
      <c r="AC105" s="1154">
        <f>FlexBidr*AC104/12*(fremskrivning+1)</f>
        <v>0</v>
      </c>
      <c r="AD105" s="378">
        <f>SUM(C105:AC105)</f>
        <v>0</v>
      </c>
    </row>
    <row r="106" spans="1:30" ht="19.5" customHeight="1" thickBot="1">
      <c r="A106" s="798">
        <f>A105+1</f>
        <v>3</v>
      </c>
      <c r="B106" s="793" t="str">
        <f>"Samlet betaling.: "&amp;AER&amp;" kr. pr. årsværk"</f>
        <v>Samlet betaling.: 4408,145 kr. pr. årsværk</v>
      </c>
      <c r="C106" s="377">
        <f t="shared" ref="C106:AA106" si="75">C104*(1+fremskrivning)*AER/12</f>
        <v>0</v>
      </c>
      <c r="D106" s="377">
        <f t="shared" si="75"/>
        <v>0</v>
      </c>
      <c r="E106" s="377">
        <f t="shared" si="75"/>
        <v>0</v>
      </c>
      <c r="F106" s="377">
        <f t="shared" si="75"/>
        <v>0</v>
      </c>
      <c r="G106" s="377">
        <f t="shared" si="75"/>
        <v>0</v>
      </c>
      <c r="H106" s="377">
        <f t="shared" si="75"/>
        <v>0</v>
      </c>
      <c r="I106" s="377">
        <f t="shared" si="75"/>
        <v>0</v>
      </c>
      <c r="J106" s="377">
        <f t="shared" si="75"/>
        <v>0</v>
      </c>
      <c r="K106" s="377">
        <f t="shared" si="75"/>
        <v>0</v>
      </c>
      <c r="L106" s="377">
        <f t="shared" si="75"/>
        <v>0</v>
      </c>
      <c r="M106" s="377">
        <f t="shared" si="75"/>
        <v>0</v>
      </c>
      <c r="N106" s="377">
        <f t="shared" si="75"/>
        <v>0</v>
      </c>
      <c r="O106" s="377">
        <f t="shared" si="75"/>
        <v>0</v>
      </c>
      <c r="P106" s="377">
        <f t="shared" si="75"/>
        <v>0</v>
      </c>
      <c r="Q106" s="377">
        <f t="shared" si="75"/>
        <v>0</v>
      </c>
      <c r="R106" s="377">
        <f t="shared" si="75"/>
        <v>0</v>
      </c>
      <c r="S106" s="377">
        <f t="shared" si="75"/>
        <v>0</v>
      </c>
      <c r="T106" s="377">
        <f t="shared" si="75"/>
        <v>0</v>
      </c>
      <c r="U106" s="377">
        <f t="shared" si="75"/>
        <v>0</v>
      </c>
      <c r="V106" s="377">
        <f t="shared" si="75"/>
        <v>0</v>
      </c>
      <c r="W106" s="377">
        <f t="shared" si="75"/>
        <v>0</v>
      </c>
      <c r="X106" s="377">
        <f t="shared" si="75"/>
        <v>0</v>
      </c>
      <c r="Y106" s="377">
        <f t="shared" si="75"/>
        <v>0</v>
      </c>
      <c r="Z106" s="377">
        <f t="shared" si="75"/>
        <v>0</v>
      </c>
      <c r="AA106" s="377">
        <f t="shared" si="75"/>
        <v>0</v>
      </c>
      <c r="AB106" s="113">
        <f>AB104*AER/12*(fremskrivning+1)</f>
        <v>0</v>
      </c>
      <c r="AC106" s="113">
        <f>AC104*AER/12*(fremskrivning+1)</f>
        <v>0</v>
      </c>
      <c r="AD106" s="378">
        <f>SUM(C106:AC106)</f>
        <v>0</v>
      </c>
    </row>
    <row r="107" spans="1:30" ht="19.5" customHeight="1" thickBot="1">
      <c r="A107" s="798">
        <f>A106+1</f>
        <v>4</v>
      </c>
      <c r="B107" s="794" t="s">
        <v>1127</v>
      </c>
      <c r="C107" s="352">
        <f>C105+C106</f>
        <v>0</v>
      </c>
      <c r="D107" s="352">
        <f t="shared" ref="D107:E107" si="76">D105+D106</f>
        <v>0</v>
      </c>
      <c r="E107" s="352">
        <f t="shared" si="76"/>
        <v>0</v>
      </c>
      <c r="F107" s="352">
        <f>F105+F106</f>
        <v>0</v>
      </c>
      <c r="G107" s="352">
        <f t="shared" ref="G107:AB107" si="77">G105+G106</f>
        <v>0</v>
      </c>
      <c r="H107" s="352">
        <f t="shared" si="77"/>
        <v>0</v>
      </c>
      <c r="I107" s="352">
        <f t="shared" si="77"/>
        <v>0</v>
      </c>
      <c r="J107" s="352">
        <f t="shared" si="77"/>
        <v>0</v>
      </c>
      <c r="K107" s="352">
        <f t="shared" si="77"/>
        <v>0</v>
      </c>
      <c r="L107" s="352">
        <f t="shared" si="77"/>
        <v>0</v>
      </c>
      <c r="M107" s="352">
        <f t="shared" si="77"/>
        <v>0</v>
      </c>
      <c r="N107" s="352">
        <f t="shared" si="77"/>
        <v>0</v>
      </c>
      <c r="O107" s="352">
        <f t="shared" si="77"/>
        <v>0</v>
      </c>
      <c r="P107" s="352">
        <f t="shared" si="77"/>
        <v>0</v>
      </c>
      <c r="Q107" s="352">
        <f t="shared" si="77"/>
        <v>0</v>
      </c>
      <c r="R107" s="352">
        <f t="shared" si="77"/>
        <v>0</v>
      </c>
      <c r="S107" s="352">
        <f t="shared" si="77"/>
        <v>0</v>
      </c>
      <c r="T107" s="352">
        <f t="shared" si="77"/>
        <v>0</v>
      </c>
      <c r="U107" s="352">
        <f t="shared" si="77"/>
        <v>0</v>
      </c>
      <c r="V107" s="352">
        <f t="shared" si="77"/>
        <v>0</v>
      </c>
      <c r="W107" s="352">
        <f t="shared" si="77"/>
        <v>0</v>
      </c>
      <c r="X107" s="352">
        <f t="shared" si="77"/>
        <v>0</v>
      </c>
      <c r="Y107" s="352">
        <f t="shared" si="77"/>
        <v>0</v>
      </c>
      <c r="Z107" s="352">
        <f t="shared" si="77"/>
        <v>0</v>
      </c>
      <c r="AA107" s="352">
        <f t="shared" si="77"/>
        <v>0</v>
      </c>
      <c r="AB107" s="352">
        <f t="shared" si="77"/>
        <v>0</v>
      </c>
      <c r="AC107" s="352">
        <f>AC105+AC106</f>
        <v>0</v>
      </c>
      <c r="AD107" s="379">
        <f>+AD105+AD106</f>
        <v>0</v>
      </c>
    </row>
    <row r="108" spans="1:30" hidden="1">
      <c r="B108" s="102" t="s">
        <v>326</v>
      </c>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row>
    <row r="109" spans="1:30" hidden="1">
      <c r="A109" s="104"/>
      <c r="B109" s="105" t="s">
        <v>327</v>
      </c>
      <c r="C109" s="105"/>
      <c r="D109" s="105"/>
      <c r="E109" s="105"/>
      <c r="F109" s="105"/>
      <c r="G109" s="105"/>
      <c r="H109" s="105"/>
      <c r="I109" s="105"/>
      <c r="J109" s="105"/>
      <c r="K109" s="105"/>
      <c r="L109" s="106"/>
      <c r="M109" s="106"/>
      <c r="N109" s="105"/>
      <c r="O109" s="105"/>
      <c r="P109" s="105"/>
      <c r="Q109" s="105"/>
      <c r="R109" s="105"/>
      <c r="S109" s="105"/>
      <c r="T109" s="106"/>
      <c r="U109" s="106"/>
      <c r="V109" s="105"/>
      <c r="W109" s="105"/>
      <c r="X109" s="106"/>
      <c r="Y109" s="106"/>
      <c r="Z109" s="106"/>
      <c r="AA109" s="106"/>
      <c r="AB109" s="106"/>
      <c r="AC109" s="106"/>
    </row>
    <row r="110" spans="1:30" ht="16" hidden="1">
      <c r="A110" s="104"/>
      <c r="B110" s="107"/>
      <c r="C110" s="105"/>
      <c r="D110" s="105"/>
      <c r="E110" s="105"/>
      <c r="F110" s="105"/>
      <c r="G110" s="105"/>
      <c r="H110" s="105"/>
      <c r="I110" s="105"/>
      <c r="J110" s="105"/>
      <c r="K110" s="105"/>
      <c r="L110" s="106"/>
      <c r="M110" s="106"/>
      <c r="N110" s="105"/>
      <c r="O110" s="105"/>
      <c r="P110" s="105"/>
      <c r="Q110" s="105"/>
      <c r="R110" s="105"/>
      <c r="S110" s="105"/>
      <c r="T110" s="106"/>
      <c r="U110" s="106"/>
      <c r="V110" s="105"/>
      <c r="W110" s="105"/>
      <c r="X110" s="106"/>
      <c r="Y110" s="106"/>
      <c r="Z110" s="106"/>
      <c r="AA110" s="106"/>
      <c r="AB110" s="106"/>
      <c r="AC110" s="106"/>
    </row>
    <row r="111" spans="1:30" hidden="1">
      <c r="B111" s="108" t="s">
        <v>328</v>
      </c>
      <c r="C111" s="103" t="s">
        <v>736</v>
      </c>
      <c r="E111" s="109">
        <f t="shared" ref="E111:AC111" si="78">IF(LEFT(E$4)&lt;&gt;"b",IF(E$20&gt;=650,650*ROUND(16.38*E$16,2)/12,E$20*ROUND(16.38*E$16,2)/12),IF(E$20&gt;=750,750*ROUND(22.41*E$16,2)/12,E$20*ROUND(22.41*E$16,2)/12))</f>
        <v>0</v>
      </c>
      <c r="F111" s="109">
        <f t="shared" si="78"/>
        <v>0</v>
      </c>
      <c r="G111" s="109">
        <f t="shared" si="78"/>
        <v>0</v>
      </c>
      <c r="H111" s="109">
        <f t="shared" si="78"/>
        <v>0</v>
      </c>
      <c r="I111" s="109">
        <f t="shared" si="78"/>
        <v>0</v>
      </c>
      <c r="J111" s="109">
        <f t="shared" si="78"/>
        <v>0</v>
      </c>
      <c r="K111" s="109">
        <f t="shared" si="78"/>
        <v>0</v>
      </c>
      <c r="L111" s="109">
        <f t="shared" si="78"/>
        <v>0</v>
      </c>
      <c r="M111" s="109">
        <f t="shared" si="78"/>
        <v>0</v>
      </c>
      <c r="N111" s="109">
        <f t="shared" si="78"/>
        <v>0</v>
      </c>
      <c r="O111" s="109">
        <f t="shared" si="78"/>
        <v>0</v>
      </c>
      <c r="P111" s="109">
        <f t="shared" si="78"/>
        <v>0</v>
      </c>
      <c r="Q111" s="109">
        <f t="shared" si="78"/>
        <v>0</v>
      </c>
      <c r="R111" s="109">
        <f t="shared" si="78"/>
        <v>0</v>
      </c>
      <c r="S111" s="109">
        <f t="shared" si="78"/>
        <v>0</v>
      </c>
      <c r="T111" s="109">
        <f t="shared" si="78"/>
        <v>0</v>
      </c>
      <c r="U111" s="109">
        <f t="shared" si="78"/>
        <v>0</v>
      </c>
      <c r="V111" s="109">
        <f t="shared" si="78"/>
        <v>0</v>
      </c>
      <c r="W111" s="109">
        <f t="shared" si="78"/>
        <v>0</v>
      </c>
      <c r="X111" s="109">
        <f t="shared" si="78"/>
        <v>0</v>
      </c>
      <c r="Y111" s="109">
        <f t="shared" si="78"/>
        <v>0</v>
      </c>
      <c r="Z111" s="109">
        <f t="shared" si="78"/>
        <v>0</v>
      </c>
      <c r="AA111" s="109">
        <f t="shared" si="78"/>
        <v>0</v>
      </c>
      <c r="AB111" s="109">
        <f t="shared" si="78"/>
        <v>0</v>
      </c>
      <c r="AC111" s="109">
        <f t="shared" si="78"/>
        <v>0</v>
      </c>
    </row>
    <row r="112" spans="1:30" hidden="1">
      <c r="B112" s="108" t="s">
        <v>329</v>
      </c>
      <c r="C112" s="103" t="s">
        <v>737</v>
      </c>
      <c r="E112" s="109">
        <f t="shared" ref="E112:AC112" si="79">IF(LEFT(E$4)&lt;&gt;"b",IF(E$20&gt;650,IF(E$20&gt;=700,50*ROUND(98.3*E$16,2)/12,(E$20-650)*ROUND(98.3*E$16,2)/12),0),IF(E$20&gt;750,IF(E$20&gt;=800,50*ROUND(65.53*E$16,2)/12,(E$20-750)*ROUND(65.53*E$16,2)/12),0))</f>
        <v>0</v>
      </c>
      <c r="F112" s="109">
        <f t="shared" si="79"/>
        <v>0</v>
      </c>
      <c r="G112" s="109">
        <f t="shared" si="79"/>
        <v>0</v>
      </c>
      <c r="H112" s="109">
        <f t="shared" si="79"/>
        <v>0</v>
      </c>
      <c r="I112" s="109">
        <f t="shared" si="79"/>
        <v>0</v>
      </c>
      <c r="J112" s="109">
        <f t="shared" si="79"/>
        <v>0</v>
      </c>
      <c r="K112" s="109">
        <f t="shared" si="79"/>
        <v>0</v>
      </c>
      <c r="L112" s="109">
        <f t="shared" si="79"/>
        <v>0</v>
      </c>
      <c r="M112" s="109">
        <f t="shared" si="79"/>
        <v>0</v>
      </c>
      <c r="N112" s="109">
        <f t="shared" si="79"/>
        <v>0</v>
      </c>
      <c r="O112" s="109">
        <f t="shared" si="79"/>
        <v>0</v>
      </c>
      <c r="P112" s="109">
        <f t="shared" si="79"/>
        <v>0</v>
      </c>
      <c r="Q112" s="109">
        <f t="shared" si="79"/>
        <v>0</v>
      </c>
      <c r="R112" s="109">
        <f t="shared" si="79"/>
        <v>0</v>
      </c>
      <c r="S112" s="109">
        <f t="shared" si="79"/>
        <v>0</v>
      </c>
      <c r="T112" s="109">
        <f t="shared" si="79"/>
        <v>0</v>
      </c>
      <c r="U112" s="109">
        <f t="shared" si="79"/>
        <v>0</v>
      </c>
      <c r="V112" s="109">
        <f t="shared" si="79"/>
        <v>0</v>
      </c>
      <c r="W112" s="109">
        <f t="shared" si="79"/>
        <v>0</v>
      </c>
      <c r="X112" s="109">
        <f t="shared" si="79"/>
        <v>0</v>
      </c>
      <c r="Y112" s="109">
        <f t="shared" si="79"/>
        <v>0</v>
      </c>
      <c r="Z112" s="109">
        <f t="shared" si="79"/>
        <v>0</v>
      </c>
      <c r="AA112" s="109">
        <f t="shared" si="79"/>
        <v>0</v>
      </c>
      <c r="AB112" s="109">
        <f t="shared" si="79"/>
        <v>0</v>
      </c>
      <c r="AC112" s="109">
        <f t="shared" si="79"/>
        <v>0</v>
      </c>
    </row>
    <row r="113" spans="2:32" hidden="1">
      <c r="B113" s="108" t="s">
        <v>330</v>
      </c>
      <c r="E113" s="109">
        <f t="shared" ref="E113:AC113" si="80">IF(LEFT(E$4)&lt;&gt;"b",IF(E$20&gt;700,IF(E$20&gt;=750,50*ROUND(131.07*E$16,2)/12,(E$20-700)*ROUND(131.07*E$16,2)/12),0),IF(E$20&gt;800,IF(E$20&gt;=835,35*ROUND(131.07*E$16,2)/12,(E$20-800)*ROUND(131.07*E$16,2)/12),0))</f>
        <v>0</v>
      </c>
      <c r="F113" s="109">
        <f t="shared" si="80"/>
        <v>0</v>
      </c>
      <c r="G113" s="109">
        <f t="shared" si="80"/>
        <v>0</v>
      </c>
      <c r="H113" s="109">
        <f t="shared" si="80"/>
        <v>0</v>
      </c>
      <c r="I113" s="109">
        <f t="shared" si="80"/>
        <v>0</v>
      </c>
      <c r="J113" s="109">
        <f t="shared" si="80"/>
        <v>0</v>
      </c>
      <c r="K113" s="109">
        <f t="shared" si="80"/>
        <v>0</v>
      </c>
      <c r="L113" s="109">
        <f t="shared" si="80"/>
        <v>0</v>
      </c>
      <c r="M113" s="109">
        <f t="shared" si="80"/>
        <v>0</v>
      </c>
      <c r="N113" s="109">
        <f t="shared" si="80"/>
        <v>0</v>
      </c>
      <c r="O113" s="109">
        <f t="shared" si="80"/>
        <v>0</v>
      </c>
      <c r="P113" s="109">
        <f t="shared" si="80"/>
        <v>0</v>
      </c>
      <c r="Q113" s="109">
        <f t="shared" si="80"/>
        <v>0</v>
      </c>
      <c r="R113" s="109">
        <f t="shared" si="80"/>
        <v>0</v>
      </c>
      <c r="S113" s="109">
        <f t="shared" si="80"/>
        <v>0</v>
      </c>
      <c r="T113" s="109">
        <f t="shared" si="80"/>
        <v>0</v>
      </c>
      <c r="U113" s="109">
        <f t="shared" si="80"/>
        <v>0</v>
      </c>
      <c r="V113" s="109">
        <f t="shared" si="80"/>
        <v>0</v>
      </c>
      <c r="W113" s="109">
        <f t="shared" si="80"/>
        <v>0</v>
      </c>
      <c r="X113" s="109">
        <f t="shared" si="80"/>
        <v>0</v>
      </c>
      <c r="Y113" s="109">
        <f t="shared" si="80"/>
        <v>0</v>
      </c>
      <c r="Z113" s="109">
        <f t="shared" si="80"/>
        <v>0</v>
      </c>
      <c r="AA113" s="109">
        <f t="shared" si="80"/>
        <v>0</v>
      </c>
      <c r="AB113" s="109">
        <f t="shared" si="80"/>
        <v>0</v>
      </c>
      <c r="AC113" s="109">
        <f t="shared" si="80"/>
        <v>0</v>
      </c>
    </row>
    <row r="114" spans="2:32" hidden="1">
      <c r="B114" s="108" t="s">
        <v>331</v>
      </c>
      <c r="E114" s="109">
        <f t="shared" ref="E114:AC114" si="81">IF(LEFT(E$4)&lt;&gt;"b",IF(E$20&gt;750,(E$20-750)*ROUND(163.83*E$16,2)/12,0),IF(E$20&gt;835,(E$20-835)*ROUND(163.83*E$16,2)/12,0))</f>
        <v>0</v>
      </c>
      <c r="F114" s="109">
        <f t="shared" si="81"/>
        <v>0</v>
      </c>
      <c r="G114" s="109">
        <f t="shared" si="81"/>
        <v>0</v>
      </c>
      <c r="H114" s="109">
        <f t="shared" si="81"/>
        <v>0</v>
      </c>
      <c r="I114" s="109">
        <f t="shared" si="81"/>
        <v>0</v>
      </c>
      <c r="J114" s="109">
        <f t="shared" si="81"/>
        <v>0</v>
      </c>
      <c r="K114" s="109">
        <f t="shared" si="81"/>
        <v>0</v>
      </c>
      <c r="L114" s="109">
        <f t="shared" si="81"/>
        <v>0</v>
      </c>
      <c r="M114" s="109">
        <f t="shared" si="81"/>
        <v>0</v>
      </c>
      <c r="N114" s="109">
        <f t="shared" si="81"/>
        <v>0</v>
      </c>
      <c r="O114" s="109">
        <f t="shared" si="81"/>
        <v>0</v>
      </c>
      <c r="P114" s="109">
        <f t="shared" si="81"/>
        <v>0</v>
      </c>
      <c r="Q114" s="109">
        <f t="shared" si="81"/>
        <v>0</v>
      </c>
      <c r="R114" s="109">
        <f t="shared" si="81"/>
        <v>0</v>
      </c>
      <c r="S114" s="109">
        <f t="shared" si="81"/>
        <v>0</v>
      </c>
      <c r="T114" s="109">
        <f t="shared" si="81"/>
        <v>0</v>
      </c>
      <c r="U114" s="109">
        <f t="shared" si="81"/>
        <v>0</v>
      </c>
      <c r="V114" s="109">
        <f t="shared" si="81"/>
        <v>0</v>
      </c>
      <c r="W114" s="109">
        <f t="shared" si="81"/>
        <v>0</v>
      </c>
      <c r="X114" s="109">
        <f t="shared" si="81"/>
        <v>0</v>
      </c>
      <c r="Y114" s="109">
        <f t="shared" si="81"/>
        <v>0</v>
      </c>
      <c r="Z114" s="109">
        <f t="shared" si="81"/>
        <v>0</v>
      </c>
      <c r="AA114" s="109">
        <f t="shared" si="81"/>
        <v>0</v>
      </c>
      <c r="AB114" s="109">
        <f t="shared" si="81"/>
        <v>0</v>
      </c>
      <c r="AC114" s="109">
        <f t="shared" si="81"/>
        <v>0</v>
      </c>
    </row>
    <row r="115" spans="2:32" hidden="1">
      <c r="E115" s="109">
        <f>SUM(E111:E114)</f>
        <v>0</v>
      </c>
      <c r="F115" s="109">
        <f>SUM(F111:F114)</f>
        <v>0</v>
      </c>
      <c r="G115" s="109">
        <f t="shared" ref="G115:AB115" si="82">SUM(G111:G114)</f>
        <v>0</v>
      </c>
      <c r="H115" s="109">
        <f t="shared" si="82"/>
        <v>0</v>
      </c>
      <c r="I115" s="109">
        <f t="shared" si="82"/>
        <v>0</v>
      </c>
      <c r="J115" s="109">
        <f t="shared" si="82"/>
        <v>0</v>
      </c>
      <c r="K115" s="109">
        <f t="shared" si="82"/>
        <v>0</v>
      </c>
      <c r="L115" s="109">
        <f t="shared" si="82"/>
        <v>0</v>
      </c>
      <c r="M115" s="109">
        <f t="shared" si="82"/>
        <v>0</v>
      </c>
      <c r="N115" s="109">
        <f t="shared" si="82"/>
        <v>0</v>
      </c>
      <c r="O115" s="109">
        <f t="shared" si="82"/>
        <v>0</v>
      </c>
      <c r="P115" s="109">
        <f t="shared" si="82"/>
        <v>0</v>
      </c>
      <c r="Q115" s="109">
        <f t="shared" si="82"/>
        <v>0</v>
      </c>
      <c r="R115" s="109">
        <f t="shared" si="82"/>
        <v>0</v>
      </c>
      <c r="S115" s="109">
        <f t="shared" si="82"/>
        <v>0</v>
      </c>
      <c r="T115" s="109">
        <f t="shared" si="82"/>
        <v>0</v>
      </c>
      <c r="U115" s="109">
        <f t="shared" ref="U115" si="83">SUM(U111:U114)</f>
        <v>0</v>
      </c>
      <c r="V115" s="109">
        <f t="shared" ref="V115:X115" si="84">SUM(V111:V114)</f>
        <v>0</v>
      </c>
      <c r="W115" s="109">
        <f t="shared" si="84"/>
        <v>0</v>
      </c>
      <c r="X115" s="109">
        <f t="shared" si="84"/>
        <v>0</v>
      </c>
      <c r="Y115" s="109">
        <f t="shared" ref="Y115:Z115" si="85">SUM(Y111:Y114)</f>
        <v>0</v>
      </c>
      <c r="Z115" s="109">
        <f t="shared" si="85"/>
        <v>0</v>
      </c>
      <c r="AA115" s="109">
        <f t="shared" si="82"/>
        <v>0</v>
      </c>
      <c r="AB115" s="109">
        <f t="shared" si="82"/>
        <v>0</v>
      </c>
      <c r="AC115" s="109">
        <f>SUM(AC111:AC114)</f>
        <v>0</v>
      </c>
    </row>
    <row r="116" spans="2:32" hidden="1"/>
    <row r="117" spans="2:32" hidden="1">
      <c r="C117" s="103" t="s">
        <v>1184</v>
      </c>
      <c r="D117" s="103" t="s">
        <v>1185</v>
      </c>
      <c r="E117" s="103" t="s">
        <v>1169</v>
      </c>
      <c r="AD117" s="103"/>
      <c r="AE117" s="103"/>
    </row>
    <row r="118" spans="2:32" hidden="1">
      <c r="C118" s="1394">
        <f>IF(C11="Orlov",0,C23*C9)</f>
        <v>0</v>
      </c>
      <c r="D118" s="103">
        <f>IF(D11="Orlov",0,D23*D9)</f>
        <v>0</v>
      </c>
      <c r="E118" s="103">
        <f t="shared" ref="E118:AA118" si="86">IF(E11="orlov",0,E24*E9)</f>
        <v>0</v>
      </c>
      <c r="F118" s="103">
        <f t="shared" si="86"/>
        <v>0</v>
      </c>
      <c r="G118" s="103">
        <f t="shared" si="86"/>
        <v>0</v>
      </c>
      <c r="H118" s="103">
        <f t="shared" si="86"/>
        <v>0</v>
      </c>
      <c r="I118" s="103">
        <f t="shared" si="86"/>
        <v>0</v>
      </c>
      <c r="J118" s="103">
        <f t="shared" si="86"/>
        <v>0</v>
      </c>
      <c r="K118" s="103">
        <f t="shared" si="86"/>
        <v>0</v>
      </c>
      <c r="L118" s="103">
        <f t="shared" si="86"/>
        <v>0</v>
      </c>
      <c r="M118" s="103">
        <f t="shared" si="86"/>
        <v>0</v>
      </c>
      <c r="N118" s="103">
        <f t="shared" si="86"/>
        <v>0</v>
      </c>
      <c r="O118" s="103">
        <f t="shared" si="86"/>
        <v>0</v>
      </c>
      <c r="P118" s="103">
        <f t="shared" si="86"/>
        <v>0</v>
      </c>
      <c r="Q118" s="103">
        <f t="shared" si="86"/>
        <v>0</v>
      </c>
      <c r="R118" s="103">
        <f t="shared" si="86"/>
        <v>0</v>
      </c>
      <c r="S118" s="103">
        <f t="shared" si="86"/>
        <v>0</v>
      </c>
      <c r="T118" s="103">
        <f t="shared" si="86"/>
        <v>0</v>
      </c>
      <c r="U118" s="103">
        <f t="shared" si="86"/>
        <v>0</v>
      </c>
      <c r="V118" s="103">
        <f t="shared" si="86"/>
        <v>0</v>
      </c>
      <c r="W118" s="103">
        <f t="shared" si="86"/>
        <v>0</v>
      </c>
      <c r="X118" s="103">
        <f t="shared" si="86"/>
        <v>0</v>
      </c>
      <c r="Y118" s="103">
        <f t="shared" si="86"/>
        <v>0</v>
      </c>
      <c r="Z118" s="103">
        <f t="shared" si="86"/>
        <v>0</v>
      </c>
      <c r="AA118" s="103">
        <f t="shared" si="86"/>
        <v>0</v>
      </c>
      <c r="AB118" s="103">
        <f>AB24*AB9</f>
        <v>0</v>
      </c>
      <c r="AC118" s="103">
        <f>AC24*AC9</f>
        <v>0</v>
      </c>
      <c r="AD118" s="103"/>
      <c r="AE118" s="103">
        <f>AE35*AE21</f>
        <v>0</v>
      </c>
      <c r="AF118" s="1179"/>
    </row>
    <row r="119" spans="2:32" hidden="1">
      <c r="AD119" s="103"/>
      <c r="AE119" s="103"/>
      <c r="AF119" s="1179"/>
    </row>
    <row r="120" spans="2:32" hidden="1">
      <c r="E120" s="103" t="s">
        <v>366</v>
      </c>
      <c r="AD120" s="103"/>
      <c r="AE120" s="103"/>
      <c r="AF120" s="1179"/>
    </row>
    <row r="121" spans="2:32" hidden="1">
      <c r="E121" s="103" t="e" vm="1">
        <f t="shared" ref="E121:Z121" si="87">IF(E11="Orlov",0,(E22*E18*E9))</f>
        <v>#VALUE!</v>
      </c>
      <c r="F121" s="103">
        <f t="shared" si="87"/>
        <v>0</v>
      </c>
      <c r="G121" s="103">
        <f t="shared" si="87"/>
        <v>0</v>
      </c>
      <c r="H121" s="103">
        <f t="shared" si="87"/>
        <v>0</v>
      </c>
      <c r="I121" s="103">
        <f t="shared" si="87"/>
        <v>0</v>
      </c>
      <c r="J121" s="103">
        <f t="shared" si="87"/>
        <v>0</v>
      </c>
      <c r="K121" s="103">
        <f t="shared" si="87"/>
        <v>0</v>
      </c>
      <c r="L121" s="103">
        <f t="shared" si="87"/>
        <v>0</v>
      </c>
      <c r="M121" s="103">
        <f t="shared" si="87"/>
        <v>0</v>
      </c>
      <c r="N121" s="103">
        <f t="shared" si="87"/>
        <v>0</v>
      </c>
      <c r="O121" s="103">
        <f t="shared" si="87"/>
        <v>0</v>
      </c>
      <c r="P121" s="103">
        <f t="shared" si="87"/>
        <v>0</v>
      </c>
      <c r="Q121" s="103">
        <f t="shared" si="87"/>
        <v>0</v>
      </c>
      <c r="R121" s="103">
        <f t="shared" si="87"/>
        <v>0</v>
      </c>
      <c r="S121" s="103">
        <f t="shared" si="87"/>
        <v>0</v>
      </c>
      <c r="T121" s="103">
        <f t="shared" si="87"/>
        <v>0</v>
      </c>
      <c r="U121" s="103">
        <f t="shared" si="87"/>
        <v>0</v>
      </c>
      <c r="V121" s="103">
        <f t="shared" si="87"/>
        <v>0</v>
      </c>
      <c r="W121" s="103">
        <f t="shared" si="87"/>
        <v>0</v>
      </c>
      <c r="X121" s="103">
        <f t="shared" si="87"/>
        <v>0</v>
      </c>
      <c r="Y121" s="103">
        <f t="shared" si="87"/>
        <v>0</v>
      </c>
      <c r="Z121" s="103">
        <f t="shared" si="87"/>
        <v>0</v>
      </c>
      <c r="AA121" s="103">
        <f>AA22*AA18*AA9</f>
        <v>0</v>
      </c>
      <c r="AB121" s="103">
        <f>AB22*AB18*AB9</f>
        <v>0</v>
      </c>
      <c r="AC121" s="103">
        <f>AC22*AC18*AC9</f>
        <v>0</v>
      </c>
      <c r="AD121" s="103"/>
      <c r="AE121" s="103"/>
      <c r="AF121" s="1179"/>
    </row>
    <row r="122" spans="2:32" hidden="1">
      <c r="E122" s="103" t="e" vm="1">
        <f>E22*E18*E10*(1+fremskrivning)</f>
        <v>#VALUE!</v>
      </c>
      <c r="AD122" s="103"/>
      <c r="AE122" s="103"/>
      <c r="AF122" s="1179"/>
    </row>
    <row r="123" spans="2:32" hidden="1">
      <c r="E123" s="103" t="s">
        <v>1170</v>
      </c>
      <c r="AB123" s="103" t="s">
        <v>1186</v>
      </c>
      <c r="AD123" s="103"/>
      <c r="AE123" s="103"/>
      <c r="AF123" s="1179"/>
    </row>
    <row r="124" spans="2:32" hidden="1">
      <c r="C124" s="103">
        <f>C34*C21</f>
        <v>0</v>
      </c>
      <c r="D124" s="103">
        <f>D34*D21</f>
        <v>0</v>
      </c>
      <c r="E124" s="103">
        <f t="shared" ref="E124:AA124" si="88">IF(E11="Orlov",0,(E21*E18*E9))</f>
        <v>361038.96</v>
      </c>
      <c r="F124" s="103">
        <f t="shared" si="88"/>
        <v>0</v>
      </c>
      <c r="G124" s="103">
        <f t="shared" si="88"/>
        <v>0</v>
      </c>
      <c r="H124" s="103">
        <f t="shared" si="88"/>
        <v>0</v>
      </c>
      <c r="I124" s="103">
        <f t="shared" si="88"/>
        <v>0</v>
      </c>
      <c r="J124" s="103">
        <f t="shared" si="88"/>
        <v>0</v>
      </c>
      <c r="K124" s="103">
        <f t="shared" si="88"/>
        <v>0</v>
      </c>
      <c r="L124" s="103">
        <f t="shared" si="88"/>
        <v>0</v>
      </c>
      <c r="M124" s="103">
        <f t="shared" si="88"/>
        <v>0</v>
      </c>
      <c r="N124" s="103">
        <f t="shared" si="88"/>
        <v>0</v>
      </c>
      <c r="O124" s="103">
        <f t="shared" si="88"/>
        <v>0</v>
      </c>
      <c r="P124" s="103">
        <f t="shared" si="88"/>
        <v>0</v>
      </c>
      <c r="Q124" s="103">
        <f t="shared" si="88"/>
        <v>0</v>
      </c>
      <c r="R124" s="103">
        <f t="shared" si="88"/>
        <v>0</v>
      </c>
      <c r="S124" s="103">
        <f t="shared" si="88"/>
        <v>0</v>
      </c>
      <c r="T124" s="103">
        <f t="shared" si="88"/>
        <v>0</v>
      </c>
      <c r="U124" s="103">
        <f t="shared" si="88"/>
        <v>0</v>
      </c>
      <c r="V124" s="103">
        <f t="shared" si="88"/>
        <v>0</v>
      </c>
      <c r="W124" s="103">
        <f t="shared" si="88"/>
        <v>0</v>
      </c>
      <c r="X124" s="103">
        <f t="shared" si="88"/>
        <v>0</v>
      </c>
      <c r="Y124" s="103">
        <f t="shared" si="88"/>
        <v>0</v>
      </c>
      <c r="Z124" s="103">
        <f t="shared" si="88"/>
        <v>0</v>
      </c>
      <c r="AA124" s="103">
        <f t="shared" si="88"/>
        <v>0</v>
      </c>
      <c r="AB124" s="103">
        <f>AB23*AB9</f>
        <v>0</v>
      </c>
      <c r="AC124" s="103">
        <f>AC23*AC9</f>
        <v>0</v>
      </c>
      <c r="AD124" s="103"/>
      <c r="AE124" s="103"/>
      <c r="AF124" s="1179"/>
    </row>
    <row r="125" spans="2:32" hidden="1">
      <c r="AD125" s="103"/>
      <c r="AE125" s="103"/>
      <c r="AF125" s="1179"/>
    </row>
    <row r="126" spans="2:32" hidden="1">
      <c r="E126" s="103" t="s">
        <v>1175</v>
      </c>
      <c r="AD126" s="103"/>
      <c r="AE126" s="103"/>
      <c r="AF126" s="1179"/>
    </row>
    <row r="127" spans="2:32" hidden="1">
      <c r="E127" s="103">
        <f t="shared" ref="E127:AA127" si="89">IF(E11="Orlov",0,(E34*E9))</f>
        <v>9569.76</v>
      </c>
      <c r="F127" s="103">
        <f t="shared" si="89"/>
        <v>0</v>
      </c>
      <c r="G127" s="103">
        <f t="shared" si="89"/>
        <v>0</v>
      </c>
      <c r="H127" s="103">
        <f t="shared" si="89"/>
        <v>0</v>
      </c>
      <c r="I127" s="103">
        <f t="shared" si="89"/>
        <v>0</v>
      </c>
      <c r="J127" s="103">
        <f t="shared" si="89"/>
        <v>0</v>
      </c>
      <c r="K127" s="103">
        <f t="shared" si="89"/>
        <v>0</v>
      </c>
      <c r="L127" s="103">
        <f t="shared" si="89"/>
        <v>0</v>
      </c>
      <c r="M127" s="103">
        <f t="shared" si="89"/>
        <v>0</v>
      </c>
      <c r="N127" s="103">
        <f t="shared" si="89"/>
        <v>0</v>
      </c>
      <c r="O127" s="103">
        <f t="shared" si="89"/>
        <v>0</v>
      </c>
      <c r="P127" s="103">
        <f t="shared" si="89"/>
        <v>0</v>
      </c>
      <c r="Q127" s="103">
        <f t="shared" si="89"/>
        <v>0</v>
      </c>
      <c r="R127" s="103">
        <f t="shared" si="89"/>
        <v>0</v>
      </c>
      <c r="S127" s="103">
        <f t="shared" si="89"/>
        <v>0</v>
      </c>
      <c r="T127" s="103">
        <f t="shared" si="89"/>
        <v>0</v>
      </c>
      <c r="U127" s="103">
        <f t="shared" si="89"/>
        <v>0</v>
      </c>
      <c r="V127" s="103">
        <f t="shared" si="89"/>
        <v>0</v>
      </c>
      <c r="W127" s="103">
        <f t="shared" si="89"/>
        <v>0</v>
      </c>
      <c r="X127" s="103">
        <f t="shared" si="89"/>
        <v>0</v>
      </c>
      <c r="Y127" s="103">
        <f t="shared" si="89"/>
        <v>0</v>
      </c>
      <c r="Z127" s="103">
        <f t="shared" si="89"/>
        <v>0</v>
      </c>
      <c r="AA127" s="103">
        <f t="shared" si="89"/>
        <v>0</v>
      </c>
      <c r="AB127" s="103">
        <f>AB34*AB9</f>
        <v>0</v>
      </c>
      <c r="AC127" s="103">
        <f>AC34*AC9</f>
        <v>0</v>
      </c>
      <c r="AD127" s="103"/>
      <c r="AE127" s="103"/>
      <c r="AF127" s="1179"/>
    </row>
    <row r="128" spans="2:32" hidden="1">
      <c r="E128" s="103" t="s">
        <v>1176</v>
      </c>
      <c r="AD128" s="103"/>
      <c r="AE128" s="103"/>
      <c r="AF128" s="1179"/>
    </row>
    <row r="129" spans="1:34" hidden="1">
      <c r="E129" s="103">
        <f t="shared" ref="E129:AA129" si="90">IF(E11="Orlov",0,E35*E9)</f>
        <v>3391.7999999999997</v>
      </c>
      <c r="F129" s="103">
        <f t="shared" si="90"/>
        <v>0</v>
      </c>
      <c r="G129" s="103">
        <f t="shared" si="90"/>
        <v>0</v>
      </c>
      <c r="H129" s="103">
        <f t="shared" si="90"/>
        <v>0</v>
      </c>
      <c r="I129" s="103">
        <f t="shared" si="90"/>
        <v>0</v>
      </c>
      <c r="J129" s="103">
        <f t="shared" si="90"/>
        <v>0</v>
      </c>
      <c r="K129" s="103">
        <f t="shared" si="90"/>
        <v>0</v>
      </c>
      <c r="L129" s="103">
        <f t="shared" si="90"/>
        <v>0</v>
      </c>
      <c r="M129" s="103">
        <f t="shared" si="90"/>
        <v>0</v>
      </c>
      <c r="N129" s="103">
        <f t="shared" si="90"/>
        <v>0</v>
      </c>
      <c r="O129" s="103">
        <f t="shared" si="90"/>
        <v>0</v>
      </c>
      <c r="P129" s="103">
        <f t="shared" si="90"/>
        <v>0</v>
      </c>
      <c r="Q129" s="103">
        <f t="shared" si="90"/>
        <v>0</v>
      </c>
      <c r="R129" s="103">
        <f t="shared" si="90"/>
        <v>0</v>
      </c>
      <c r="S129" s="103">
        <f t="shared" si="90"/>
        <v>0</v>
      </c>
      <c r="T129" s="103">
        <f t="shared" si="90"/>
        <v>0</v>
      </c>
      <c r="U129" s="103">
        <f t="shared" si="90"/>
        <v>0</v>
      </c>
      <c r="V129" s="103">
        <f t="shared" si="90"/>
        <v>0</v>
      </c>
      <c r="W129" s="103">
        <f t="shared" si="90"/>
        <v>0</v>
      </c>
      <c r="X129" s="103">
        <f t="shared" si="90"/>
        <v>0</v>
      </c>
      <c r="Y129" s="103">
        <f t="shared" si="90"/>
        <v>0</v>
      </c>
      <c r="Z129" s="103">
        <f t="shared" si="90"/>
        <v>0</v>
      </c>
      <c r="AA129" s="103">
        <f t="shared" si="90"/>
        <v>0</v>
      </c>
      <c r="AD129" s="103"/>
      <c r="AE129" s="103"/>
      <c r="AF129" s="1179"/>
    </row>
    <row r="130" spans="1:34" hidden="1">
      <c r="E130" s="103" t="s">
        <v>1177</v>
      </c>
      <c r="AD130" s="103"/>
      <c r="AE130" s="103"/>
      <c r="AF130" s="1179"/>
    </row>
    <row r="131" spans="1:34" hidden="1">
      <c r="E131" s="103">
        <f t="shared" ref="E131:AA131" si="91">IF(E11="Orlov",0,E36*E9)</f>
        <v>1090.1999999999998</v>
      </c>
      <c r="F131" s="103">
        <f t="shared" si="91"/>
        <v>0</v>
      </c>
      <c r="G131" s="103">
        <f t="shared" si="91"/>
        <v>0</v>
      </c>
      <c r="H131" s="103">
        <f t="shared" si="91"/>
        <v>0</v>
      </c>
      <c r="I131" s="103">
        <f t="shared" si="91"/>
        <v>0</v>
      </c>
      <c r="J131" s="103">
        <f t="shared" si="91"/>
        <v>0</v>
      </c>
      <c r="K131" s="103">
        <f t="shared" si="91"/>
        <v>0</v>
      </c>
      <c r="L131" s="103">
        <f t="shared" si="91"/>
        <v>0</v>
      </c>
      <c r="M131" s="103">
        <f t="shared" si="91"/>
        <v>0</v>
      </c>
      <c r="N131" s="103">
        <f t="shared" si="91"/>
        <v>0</v>
      </c>
      <c r="O131" s="103">
        <f t="shared" si="91"/>
        <v>0</v>
      </c>
      <c r="P131" s="103">
        <f t="shared" si="91"/>
        <v>0</v>
      </c>
      <c r="Q131" s="103">
        <f t="shared" si="91"/>
        <v>0</v>
      </c>
      <c r="R131" s="103">
        <f t="shared" si="91"/>
        <v>0</v>
      </c>
      <c r="S131" s="103">
        <f t="shared" si="91"/>
        <v>0</v>
      </c>
      <c r="T131" s="103">
        <f t="shared" si="91"/>
        <v>0</v>
      </c>
      <c r="U131" s="103">
        <f t="shared" si="91"/>
        <v>0</v>
      </c>
      <c r="V131" s="103">
        <f t="shared" si="91"/>
        <v>0</v>
      </c>
      <c r="W131" s="103">
        <f t="shared" si="91"/>
        <v>0</v>
      </c>
      <c r="X131" s="103">
        <f t="shared" si="91"/>
        <v>0</v>
      </c>
      <c r="Y131" s="103">
        <f t="shared" si="91"/>
        <v>0</v>
      </c>
      <c r="Z131" s="103">
        <f t="shared" si="91"/>
        <v>0</v>
      </c>
      <c r="AA131" s="103">
        <f t="shared" si="91"/>
        <v>0</v>
      </c>
      <c r="AB131" s="103">
        <f>AB36*AB9</f>
        <v>0</v>
      </c>
      <c r="AC131" s="103">
        <f>AC36*AC9</f>
        <v>0</v>
      </c>
      <c r="AD131" s="103"/>
      <c r="AE131" s="103"/>
      <c r="AF131" s="1179"/>
    </row>
    <row r="132" spans="1:34" hidden="1">
      <c r="E132" s="103" t="s">
        <v>1247</v>
      </c>
      <c r="AD132" s="103"/>
      <c r="AE132" s="103"/>
      <c r="AF132" s="1179"/>
    </row>
    <row r="133" spans="1:34" hidden="1">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D133" s="103"/>
      <c r="AE133" s="103"/>
      <c r="AF133" s="1179"/>
    </row>
    <row r="134" spans="1:34" hidden="1">
      <c r="C134" s="103" t="s">
        <v>1172</v>
      </c>
      <c r="AD134" s="103"/>
      <c r="AE134" s="103"/>
      <c r="AF134" s="1179"/>
    </row>
    <row r="135" spans="1:34" s="1180" customFormat="1" hidden="1">
      <c r="A135" s="1547"/>
      <c r="C135" s="1181">
        <f t="shared" ref="C135:AA135" si="92">IF(C11="Orlov",0,(C25+C26+C27)*C16/12*C9)</f>
        <v>0</v>
      </c>
      <c r="D135" s="1181">
        <f t="shared" si="92"/>
        <v>0</v>
      </c>
      <c r="E135" s="1181">
        <f t="shared" si="92"/>
        <v>0</v>
      </c>
      <c r="F135" s="1181">
        <f t="shared" si="92"/>
        <v>0</v>
      </c>
      <c r="G135" s="1181">
        <f t="shared" si="92"/>
        <v>0</v>
      </c>
      <c r="H135" s="1181">
        <f t="shared" si="92"/>
        <v>0</v>
      </c>
      <c r="I135" s="1181">
        <f t="shared" si="92"/>
        <v>0</v>
      </c>
      <c r="J135" s="1181">
        <f t="shared" si="92"/>
        <v>0</v>
      </c>
      <c r="K135" s="1181">
        <f t="shared" si="92"/>
        <v>0</v>
      </c>
      <c r="L135" s="1181">
        <f t="shared" si="92"/>
        <v>0</v>
      </c>
      <c r="M135" s="1181">
        <f t="shared" si="92"/>
        <v>0</v>
      </c>
      <c r="N135" s="1181">
        <f t="shared" si="92"/>
        <v>0</v>
      </c>
      <c r="O135" s="1181">
        <f t="shared" si="92"/>
        <v>0</v>
      </c>
      <c r="P135" s="1181">
        <f t="shared" si="92"/>
        <v>0</v>
      </c>
      <c r="Q135" s="1181">
        <f t="shared" si="92"/>
        <v>0</v>
      </c>
      <c r="R135" s="1181">
        <f t="shared" si="92"/>
        <v>0</v>
      </c>
      <c r="S135" s="1181">
        <f t="shared" si="92"/>
        <v>0</v>
      </c>
      <c r="T135" s="1181">
        <f t="shared" si="92"/>
        <v>0</v>
      </c>
      <c r="U135" s="1181">
        <f t="shared" si="92"/>
        <v>0</v>
      </c>
      <c r="V135" s="1181">
        <f t="shared" si="92"/>
        <v>0</v>
      </c>
      <c r="W135" s="1181">
        <f t="shared" si="92"/>
        <v>0</v>
      </c>
      <c r="X135" s="1181">
        <f t="shared" si="92"/>
        <v>0</v>
      </c>
      <c r="Y135" s="1181">
        <f t="shared" si="92"/>
        <v>0</v>
      </c>
      <c r="Z135" s="1181">
        <f t="shared" si="92"/>
        <v>0</v>
      </c>
      <c r="AA135" s="1181">
        <f t="shared" si="92"/>
        <v>0</v>
      </c>
      <c r="AB135" s="1181">
        <f>(AB25+AB26+AB27)*AB16/12*AB9</f>
        <v>0</v>
      </c>
      <c r="AC135" s="1181">
        <f>(AC25+AC26+AC27)*AC16/12*AC9</f>
        <v>0</v>
      </c>
      <c r="AD135" s="1181"/>
      <c r="AE135" s="1181"/>
      <c r="AF135" s="1179"/>
      <c r="AG135" s="98"/>
      <c r="AH135" s="98"/>
    </row>
    <row r="136" spans="1:34" hidden="1">
      <c r="AD136" s="103"/>
      <c r="AE136" s="103"/>
      <c r="AF136" s="1179"/>
    </row>
    <row r="137" spans="1:34" hidden="1">
      <c r="C137" s="103" t="s">
        <v>1173</v>
      </c>
      <c r="AD137" s="103"/>
      <c r="AE137" s="103"/>
      <c r="AF137" s="1179"/>
    </row>
    <row r="138" spans="1:34" hidden="1">
      <c r="D138" s="103">
        <f t="shared" ref="D138:AA138" si="93">IF(D11="Orlov",0,(D28)*D16/12*D9+((D29+D30)*D18*D16/12*D9))</f>
        <v>0</v>
      </c>
      <c r="E138" s="103">
        <f t="shared" si="93"/>
        <v>0</v>
      </c>
      <c r="F138" s="103">
        <f t="shared" si="93"/>
        <v>0</v>
      </c>
      <c r="G138" s="103">
        <f t="shared" si="93"/>
        <v>0</v>
      </c>
      <c r="H138" s="103">
        <f t="shared" si="93"/>
        <v>0</v>
      </c>
      <c r="I138" s="103">
        <f t="shared" si="93"/>
        <v>0</v>
      </c>
      <c r="J138" s="103">
        <f t="shared" si="93"/>
        <v>0</v>
      </c>
      <c r="K138" s="103">
        <f t="shared" si="93"/>
        <v>0</v>
      </c>
      <c r="L138" s="103">
        <f t="shared" si="93"/>
        <v>0</v>
      </c>
      <c r="M138" s="103">
        <f t="shared" si="93"/>
        <v>0</v>
      </c>
      <c r="N138" s="103">
        <f t="shared" si="93"/>
        <v>0</v>
      </c>
      <c r="O138" s="103">
        <f t="shared" si="93"/>
        <v>0</v>
      </c>
      <c r="P138" s="103">
        <f t="shared" si="93"/>
        <v>0</v>
      </c>
      <c r="Q138" s="103">
        <f t="shared" si="93"/>
        <v>0</v>
      </c>
      <c r="R138" s="103">
        <f t="shared" si="93"/>
        <v>0</v>
      </c>
      <c r="S138" s="103">
        <f t="shared" si="93"/>
        <v>0</v>
      </c>
      <c r="T138" s="103">
        <f t="shared" si="93"/>
        <v>0</v>
      </c>
      <c r="U138" s="103">
        <f t="shared" si="93"/>
        <v>0</v>
      </c>
      <c r="V138" s="103">
        <f t="shared" si="93"/>
        <v>0</v>
      </c>
      <c r="W138" s="103">
        <f t="shared" si="93"/>
        <v>0</v>
      </c>
      <c r="X138" s="103">
        <f t="shared" si="93"/>
        <v>0</v>
      </c>
      <c r="Y138" s="103">
        <f t="shared" si="93"/>
        <v>0</v>
      </c>
      <c r="Z138" s="103">
        <f t="shared" si="93"/>
        <v>0</v>
      </c>
      <c r="AA138" s="103">
        <f t="shared" si="93"/>
        <v>0</v>
      </c>
      <c r="AB138" s="103">
        <f>(AB28)*AB16/12*AB9+((AB29+AB30)*AB18*AB16/12*AB9)</f>
        <v>0</v>
      </c>
      <c r="AC138" s="103">
        <f>(AC28)*AC16/12*AC9+((AC29+AC30)*AC18*AC16/12*AC9)</f>
        <v>0</v>
      </c>
      <c r="AD138" s="103"/>
      <c r="AE138" s="103"/>
      <c r="AF138" s="1179"/>
      <c r="AG138" s="1180"/>
      <c r="AH138" s="1180"/>
    </row>
    <row r="139" spans="1:34" hidden="1">
      <c r="AD139" s="103"/>
      <c r="AE139" s="103"/>
      <c r="AF139" s="1179"/>
    </row>
    <row r="140" spans="1:34" hidden="1">
      <c r="C140" s="103" t="s">
        <v>1171</v>
      </c>
      <c r="AD140" s="103"/>
      <c r="AE140" s="103"/>
      <c r="AF140" s="1179"/>
    </row>
    <row r="141" spans="1:34" hidden="1">
      <c r="D141" s="103">
        <f t="shared" ref="D141:AA141" si="94">IF(D11="Orlov",0,(D32*D18)*D16/12*D9)</f>
        <v>0</v>
      </c>
      <c r="E141" s="103">
        <f t="shared" si="94"/>
        <v>0</v>
      </c>
      <c r="F141" s="103">
        <f t="shared" si="94"/>
        <v>0</v>
      </c>
      <c r="G141" s="103">
        <f t="shared" si="94"/>
        <v>0</v>
      </c>
      <c r="H141" s="103">
        <f t="shared" si="94"/>
        <v>0</v>
      </c>
      <c r="I141" s="103">
        <f t="shared" si="94"/>
        <v>0</v>
      </c>
      <c r="J141" s="103">
        <f t="shared" si="94"/>
        <v>0</v>
      </c>
      <c r="K141" s="103">
        <f t="shared" si="94"/>
        <v>0</v>
      </c>
      <c r="L141" s="103">
        <f t="shared" si="94"/>
        <v>0</v>
      </c>
      <c r="M141" s="103">
        <f t="shared" si="94"/>
        <v>0</v>
      </c>
      <c r="N141" s="103">
        <f t="shared" si="94"/>
        <v>0</v>
      </c>
      <c r="O141" s="103">
        <f t="shared" si="94"/>
        <v>0</v>
      </c>
      <c r="P141" s="103">
        <f t="shared" si="94"/>
        <v>0</v>
      </c>
      <c r="Q141" s="103">
        <f t="shared" si="94"/>
        <v>0</v>
      </c>
      <c r="R141" s="103">
        <f t="shared" si="94"/>
        <v>0</v>
      </c>
      <c r="S141" s="103">
        <f t="shared" si="94"/>
        <v>0</v>
      </c>
      <c r="T141" s="103">
        <f t="shared" si="94"/>
        <v>0</v>
      </c>
      <c r="U141" s="103">
        <f t="shared" si="94"/>
        <v>0</v>
      </c>
      <c r="V141" s="103">
        <f t="shared" si="94"/>
        <v>0</v>
      </c>
      <c r="W141" s="103">
        <f t="shared" si="94"/>
        <v>0</v>
      </c>
      <c r="X141" s="103">
        <f t="shared" si="94"/>
        <v>0</v>
      </c>
      <c r="Y141" s="103">
        <f t="shared" si="94"/>
        <v>0</v>
      </c>
      <c r="Z141" s="103">
        <f t="shared" si="94"/>
        <v>0</v>
      </c>
      <c r="AA141" s="103">
        <f t="shared" si="94"/>
        <v>0</v>
      </c>
      <c r="AD141" s="103"/>
      <c r="AE141" s="103"/>
      <c r="AF141" s="1179"/>
    </row>
    <row r="142" spans="1:34" hidden="1">
      <c r="AD142" s="103"/>
      <c r="AE142" s="103"/>
      <c r="AF142" s="1179"/>
    </row>
    <row r="143" spans="1:34" hidden="1">
      <c r="C143" s="103" t="s">
        <v>1179</v>
      </c>
      <c r="AD143" s="103"/>
      <c r="AE143" s="103"/>
      <c r="AF143" s="1179"/>
    </row>
    <row r="144" spans="1:34" hidden="1">
      <c r="E144" s="103">
        <f t="shared" ref="E144:AA144" si="95">IF(E11="Orlov",0,(E33*E18)*E16/12*E9)</f>
        <v>0</v>
      </c>
      <c r="F144" s="103">
        <f t="shared" si="95"/>
        <v>0</v>
      </c>
      <c r="G144" s="103">
        <f t="shared" si="95"/>
        <v>0</v>
      </c>
      <c r="H144" s="103">
        <f t="shared" si="95"/>
        <v>0</v>
      </c>
      <c r="I144" s="103">
        <f t="shared" si="95"/>
        <v>0</v>
      </c>
      <c r="J144" s="103">
        <f t="shared" si="95"/>
        <v>0</v>
      </c>
      <c r="K144" s="103">
        <f t="shared" si="95"/>
        <v>0</v>
      </c>
      <c r="L144" s="103">
        <f t="shared" si="95"/>
        <v>0</v>
      </c>
      <c r="M144" s="103">
        <f t="shared" si="95"/>
        <v>0</v>
      </c>
      <c r="N144" s="103">
        <f t="shared" si="95"/>
        <v>0</v>
      </c>
      <c r="O144" s="103">
        <f t="shared" si="95"/>
        <v>0</v>
      </c>
      <c r="P144" s="103">
        <f t="shared" si="95"/>
        <v>0</v>
      </c>
      <c r="Q144" s="103">
        <f t="shared" si="95"/>
        <v>0</v>
      </c>
      <c r="R144" s="103">
        <f t="shared" si="95"/>
        <v>0</v>
      </c>
      <c r="S144" s="103">
        <f t="shared" si="95"/>
        <v>0</v>
      </c>
      <c r="T144" s="103">
        <f t="shared" si="95"/>
        <v>0</v>
      </c>
      <c r="U144" s="103">
        <f t="shared" si="95"/>
        <v>0</v>
      </c>
      <c r="V144" s="103">
        <f t="shared" si="95"/>
        <v>0</v>
      </c>
      <c r="W144" s="103">
        <f t="shared" si="95"/>
        <v>0</v>
      </c>
      <c r="X144" s="103">
        <f t="shared" si="95"/>
        <v>0</v>
      </c>
      <c r="Y144" s="103">
        <f t="shared" si="95"/>
        <v>0</v>
      </c>
      <c r="Z144" s="103">
        <f t="shared" si="95"/>
        <v>0</v>
      </c>
      <c r="AA144" s="103">
        <f t="shared" si="95"/>
        <v>0</v>
      </c>
      <c r="AD144" s="103"/>
      <c r="AE144" s="103"/>
      <c r="AF144" s="1179"/>
    </row>
    <row r="145" spans="3:33" hidden="1">
      <c r="C145" s="103" t="s">
        <v>1180</v>
      </c>
      <c r="AD145" s="103"/>
      <c r="AE145" s="103"/>
      <c r="AF145" s="1179"/>
    </row>
    <row r="146" spans="3:33" hidden="1">
      <c r="C146" s="1394">
        <f t="shared" ref="C146:AA146" si="96">IF(C11="Orlov",0,C31*C16/12*C9)</f>
        <v>0</v>
      </c>
      <c r="D146" s="103">
        <f t="shared" si="96"/>
        <v>0</v>
      </c>
      <c r="E146" s="103">
        <f t="shared" si="96"/>
        <v>0</v>
      </c>
      <c r="F146" s="103">
        <f t="shared" si="96"/>
        <v>0</v>
      </c>
      <c r="G146" s="103">
        <f t="shared" si="96"/>
        <v>0</v>
      </c>
      <c r="H146" s="103">
        <f t="shared" si="96"/>
        <v>0</v>
      </c>
      <c r="I146" s="103">
        <f t="shared" si="96"/>
        <v>0</v>
      </c>
      <c r="J146" s="103">
        <f t="shared" si="96"/>
        <v>0</v>
      </c>
      <c r="K146" s="103">
        <f t="shared" si="96"/>
        <v>0</v>
      </c>
      <c r="L146" s="103">
        <f t="shared" si="96"/>
        <v>0</v>
      </c>
      <c r="M146" s="103">
        <f t="shared" si="96"/>
        <v>0</v>
      </c>
      <c r="N146" s="103">
        <f t="shared" si="96"/>
        <v>0</v>
      </c>
      <c r="O146" s="103">
        <f t="shared" si="96"/>
        <v>0</v>
      </c>
      <c r="P146" s="103">
        <f t="shared" si="96"/>
        <v>0</v>
      </c>
      <c r="Q146" s="103">
        <f t="shared" si="96"/>
        <v>0</v>
      </c>
      <c r="R146" s="103">
        <f t="shared" si="96"/>
        <v>0</v>
      </c>
      <c r="S146" s="103">
        <f t="shared" si="96"/>
        <v>0</v>
      </c>
      <c r="T146" s="103">
        <f t="shared" si="96"/>
        <v>0</v>
      </c>
      <c r="U146" s="103">
        <f t="shared" si="96"/>
        <v>0</v>
      </c>
      <c r="V146" s="103">
        <f t="shared" si="96"/>
        <v>0</v>
      </c>
      <c r="W146" s="103">
        <f t="shared" si="96"/>
        <v>0</v>
      </c>
      <c r="X146" s="103">
        <f t="shared" si="96"/>
        <v>0</v>
      </c>
      <c r="Y146" s="103">
        <f t="shared" si="96"/>
        <v>0</v>
      </c>
      <c r="Z146" s="103">
        <f t="shared" si="96"/>
        <v>0</v>
      </c>
      <c r="AA146" s="103">
        <f t="shared" si="96"/>
        <v>0</v>
      </c>
      <c r="AB146" s="103">
        <f>AB31*AB16/12*AB9</f>
        <v>0</v>
      </c>
      <c r="AC146" s="103">
        <f>AC31*AC16/12*AC9</f>
        <v>0</v>
      </c>
      <c r="AD146" s="103"/>
      <c r="AE146" s="103"/>
      <c r="AF146" s="1179">
        <f t="shared" ref="AF146:AF160" si="97">SUM(C146:AE146)</f>
        <v>0</v>
      </c>
    </row>
    <row r="147" spans="3:33" hidden="1">
      <c r="C147" s="103" t="s">
        <v>1096</v>
      </c>
      <c r="AD147" s="103"/>
      <c r="AE147" s="103"/>
      <c r="AF147" s="1179">
        <f t="shared" si="97"/>
        <v>0</v>
      </c>
    </row>
    <row r="148" spans="3:33" hidden="1">
      <c r="C148" s="1394">
        <f t="shared" ref="C148:AA148" si="98">IF(C11="Orlov",0,C43*C9)</f>
        <v>0</v>
      </c>
      <c r="D148" s="103">
        <f t="shared" si="98"/>
        <v>0</v>
      </c>
      <c r="E148" s="103">
        <f t="shared" si="98"/>
        <v>1300.1999999999998</v>
      </c>
      <c r="F148" s="103">
        <f t="shared" si="98"/>
        <v>0</v>
      </c>
      <c r="G148" s="103">
        <f t="shared" si="98"/>
        <v>0</v>
      </c>
      <c r="H148" s="103">
        <f t="shared" si="98"/>
        <v>0</v>
      </c>
      <c r="I148" s="103">
        <f t="shared" si="98"/>
        <v>0</v>
      </c>
      <c r="J148" s="103">
        <f t="shared" si="98"/>
        <v>0</v>
      </c>
      <c r="K148" s="103">
        <f t="shared" si="98"/>
        <v>0</v>
      </c>
      <c r="L148" s="103">
        <f t="shared" si="98"/>
        <v>0</v>
      </c>
      <c r="M148" s="103">
        <f t="shared" si="98"/>
        <v>0</v>
      </c>
      <c r="N148" s="103">
        <f t="shared" si="98"/>
        <v>0</v>
      </c>
      <c r="O148" s="103">
        <f t="shared" si="98"/>
        <v>0</v>
      </c>
      <c r="P148" s="103">
        <f t="shared" si="98"/>
        <v>0</v>
      </c>
      <c r="Q148" s="103">
        <f t="shared" si="98"/>
        <v>0</v>
      </c>
      <c r="R148" s="103">
        <f t="shared" si="98"/>
        <v>0</v>
      </c>
      <c r="S148" s="103">
        <f t="shared" si="98"/>
        <v>0</v>
      </c>
      <c r="T148" s="103">
        <f t="shared" si="98"/>
        <v>0</v>
      </c>
      <c r="U148" s="103">
        <f t="shared" si="98"/>
        <v>0</v>
      </c>
      <c r="V148" s="103">
        <f t="shared" si="98"/>
        <v>0</v>
      </c>
      <c r="W148" s="103">
        <f t="shared" si="98"/>
        <v>0</v>
      </c>
      <c r="X148" s="103">
        <f t="shared" si="98"/>
        <v>0</v>
      </c>
      <c r="Y148" s="103">
        <f t="shared" si="98"/>
        <v>0</v>
      </c>
      <c r="Z148" s="103">
        <f t="shared" si="98"/>
        <v>0</v>
      </c>
      <c r="AA148" s="103">
        <f t="shared" si="98"/>
        <v>0</v>
      </c>
      <c r="AD148" s="103"/>
      <c r="AE148" s="103"/>
      <c r="AF148" s="1179"/>
    </row>
    <row r="149" spans="3:33" hidden="1">
      <c r="AD149" s="103"/>
      <c r="AE149" s="103"/>
      <c r="AF149" s="1179"/>
      <c r="AG149" s="98">
        <f>E138</f>
        <v>0</v>
      </c>
    </row>
    <row r="150" spans="3:33" hidden="1">
      <c r="C150" s="103" t="s">
        <v>1386</v>
      </c>
      <c r="AD150" s="103"/>
      <c r="AE150" s="103"/>
      <c r="AF150" s="1179">
        <f>SUM(C148:AE148)</f>
        <v>1300.1999999999998</v>
      </c>
      <c r="AG150" s="98">
        <f t="shared" ref="AG150:AG164" si="99">E146</f>
        <v>0</v>
      </c>
    </row>
    <row r="151" spans="3:33" hidden="1">
      <c r="C151" s="103">
        <f>IF(AND(C11="Nej",C13="Ja"),(C23+C37)*0.8%*C9,0)</f>
        <v>0</v>
      </c>
      <c r="D151" s="103">
        <f t="shared" ref="D151:AC151" si="100">IF(AND(D11="Nej",D13="Ja"),(D23+D37)*0.8%*D9,0)</f>
        <v>0</v>
      </c>
      <c r="E151" s="103">
        <f t="shared" si="100"/>
        <v>0</v>
      </c>
      <c r="F151" s="103">
        <f t="shared" si="100"/>
        <v>0</v>
      </c>
      <c r="G151" s="103">
        <f t="shared" si="100"/>
        <v>0</v>
      </c>
      <c r="H151" s="103">
        <f t="shared" si="100"/>
        <v>0</v>
      </c>
      <c r="I151" s="103">
        <f t="shared" si="100"/>
        <v>0</v>
      </c>
      <c r="J151" s="103">
        <f t="shared" si="100"/>
        <v>0</v>
      </c>
      <c r="K151" s="103">
        <f t="shared" si="100"/>
        <v>0</v>
      </c>
      <c r="L151" s="103">
        <f t="shared" si="100"/>
        <v>0</v>
      </c>
      <c r="M151" s="103">
        <f t="shared" si="100"/>
        <v>0</v>
      </c>
      <c r="N151" s="103">
        <f t="shared" si="100"/>
        <v>0</v>
      </c>
      <c r="O151" s="103">
        <f t="shared" si="100"/>
        <v>0</v>
      </c>
      <c r="P151" s="103">
        <f t="shared" si="100"/>
        <v>0</v>
      </c>
      <c r="Q151" s="103">
        <f t="shared" si="100"/>
        <v>0</v>
      </c>
      <c r="R151" s="103">
        <f t="shared" si="100"/>
        <v>0</v>
      </c>
      <c r="S151" s="103">
        <f t="shared" si="100"/>
        <v>0</v>
      </c>
      <c r="T151" s="103">
        <f t="shared" si="100"/>
        <v>0</v>
      </c>
      <c r="U151" s="103">
        <f t="shared" si="100"/>
        <v>0</v>
      </c>
      <c r="V151" s="103">
        <f t="shared" si="100"/>
        <v>0</v>
      </c>
      <c r="W151" s="103">
        <f t="shared" si="100"/>
        <v>0</v>
      </c>
      <c r="X151" s="103">
        <f t="shared" si="100"/>
        <v>0</v>
      </c>
      <c r="Y151" s="103">
        <f t="shared" si="100"/>
        <v>0</v>
      </c>
      <c r="Z151" s="103">
        <f t="shared" si="100"/>
        <v>0</v>
      </c>
      <c r="AA151" s="103">
        <f t="shared" si="100"/>
        <v>0</v>
      </c>
      <c r="AB151" s="103">
        <f t="shared" si="100"/>
        <v>0</v>
      </c>
      <c r="AC151" s="103">
        <f t="shared" si="100"/>
        <v>0</v>
      </c>
      <c r="AD151" s="103"/>
      <c r="AE151" s="103"/>
      <c r="AF151" s="1179">
        <f>SUM(C149:AE149)</f>
        <v>0</v>
      </c>
    </row>
    <row r="152" spans="3:33" hidden="1">
      <c r="C152" s="103" t="s">
        <v>738</v>
      </c>
      <c r="AD152" s="103"/>
      <c r="AE152" s="103"/>
      <c r="AF152" s="1179">
        <f t="shared" si="97"/>
        <v>0</v>
      </c>
    </row>
    <row r="153" spans="3:33" hidden="1">
      <c r="C153" s="103">
        <f>(C52+C50+C51)*C9</f>
        <v>0</v>
      </c>
      <c r="D153" s="103">
        <f>(D52+D50+D51)*D9</f>
        <v>0</v>
      </c>
      <c r="E153" s="103" t="e" vm="1">
        <f>(E52+E50+E51)*E9</f>
        <v>#VALUE!</v>
      </c>
      <c r="F153" s="103">
        <f>(F52+F50+F51)*F9</f>
        <v>0</v>
      </c>
      <c r="G153" s="103">
        <f>(G52+G50+G51)*G9</f>
        <v>0</v>
      </c>
      <c r="H153" s="103">
        <f>IF(H18&gt;0.01,((H50+H51+H52)*H9),0)</f>
        <v>0</v>
      </c>
      <c r="I153" s="103">
        <f t="shared" ref="I153:AC153" si="101">(I52+I50+I51)*I9</f>
        <v>0</v>
      </c>
      <c r="J153" s="103">
        <f t="shared" si="101"/>
        <v>0</v>
      </c>
      <c r="K153" s="103">
        <f t="shared" si="101"/>
        <v>0</v>
      </c>
      <c r="L153" s="103">
        <f t="shared" si="101"/>
        <v>0</v>
      </c>
      <c r="M153" s="103">
        <f t="shared" si="101"/>
        <v>0</v>
      </c>
      <c r="N153" s="103">
        <f t="shared" si="101"/>
        <v>0</v>
      </c>
      <c r="O153" s="103">
        <f t="shared" si="101"/>
        <v>0</v>
      </c>
      <c r="P153" s="103">
        <f t="shared" si="101"/>
        <v>0</v>
      </c>
      <c r="Q153" s="103">
        <f t="shared" si="101"/>
        <v>0</v>
      </c>
      <c r="R153" s="103">
        <f t="shared" si="101"/>
        <v>0</v>
      </c>
      <c r="S153" s="103">
        <f t="shared" si="101"/>
        <v>0</v>
      </c>
      <c r="T153" s="103">
        <f t="shared" si="101"/>
        <v>0</v>
      </c>
      <c r="U153" s="103">
        <f t="shared" si="101"/>
        <v>0</v>
      </c>
      <c r="V153" s="103">
        <f t="shared" si="101"/>
        <v>0</v>
      </c>
      <c r="W153" s="103">
        <f t="shared" si="101"/>
        <v>0</v>
      </c>
      <c r="X153" s="103">
        <f t="shared" si="101"/>
        <v>0</v>
      </c>
      <c r="Y153" s="103">
        <f t="shared" si="101"/>
        <v>0</v>
      </c>
      <c r="Z153" s="103">
        <f t="shared" si="101"/>
        <v>0</v>
      </c>
      <c r="AA153" s="103">
        <f t="shared" si="101"/>
        <v>0</v>
      </c>
      <c r="AB153" s="103">
        <f t="shared" si="101"/>
        <v>0</v>
      </c>
      <c r="AC153" s="103">
        <f t="shared" si="101"/>
        <v>0</v>
      </c>
      <c r="AD153" s="103"/>
      <c r="AE153" s="103"/>
      <c r="AF153" s="1179" t="e" vm="1">
        <f t="shared" si="97"/>
        <v>#VALUE!</v>
      </c>
      <c r="AG153" s="98">
        <f>E147</f>
        <v>0</v>
      </c>
    </row>
    <row r="154" spans="3:33" hidden="1">
      <c r="J154" s="103">
        <f>J67*J21</f>
        <v>0</v>
      </c>
      <c r="AD154" s="103"/>
      <c r="AE154" s="103"/>
      <c r="AF154" s="1179">
        <f t="shared" si="97"/>
        <v>0</v>
      </c>
      <c r="AG154" s="98">
        <f>E148</f>
        <v>1300.1999999999998</v>
      </c>
    </row>
    <row r="155" spans="3:33" hidden="1">
      <c r="C155" s="103" t="s">
        <v>699</v>
      </c>
      <c r="AD155" s="103"/>
      <c r="AE155" s="103"/>
      <c r="AF155" s="1179">
        <f t="shared" si="97"/>
        <v>0</v>
      </c>
      <c r="AG155" s="98">
        <f>E149</f>
        <v>0</v>
      </c>
    </row>
    <row r="156" spans="3:33" hidden="1">
      <c r="C156" s="103">
        <f t="shared" ref="C156:AA156" si="102">IF(C11="Orlov",0,C53/3*2*C9)</f>
        <v>0</v>
      </c>
      <c r="D156" s="103">
        <f t="shared" si="102"/>
        <v>0</v>
      </c>
      <c r="E156" s="103">
        <f t="shared" si="102"/>
        <v>2376</v>
      </c>
      <c r="F156" s="103">
        <f t="shared" si="102"/>
        <v>0</v>
      </c>
      <c r="G156" s="103">
        <f t="shared" si="102"/>
        <v>0</v>
      </c>
      <c r="H156" s="103">
        <f t="shared" si="102"/>
        <v>0</v>
      </c>
      <c r="I156" s="103">
        <f t="shared" si="102"/>
        <v>0</v>
      </c>
      <c r="J156" s="103">
        <f t="shared" si="102"/>
        <v>0</v>
      </c>
      <c r="K156" s="103">
        <f t="shared" si="102"/>
        <v>0</v>
      </c>
      <c r="L156" s="103">
        <f t="shared" si="102"/>
        <v>0</v>
      </c>
      <c r="M156" s="103">
        <f t="shared" si="102"/>
        <v>0</v>
      </c>
      <c r="N156" s="103">
        <f t="shared" si="102"/>
        <v>0</v>
      </c>
      <c r="O156" s="103">
        <f t="shared" si="102"/>
        <v>0</v>
      </c>
      <c r="P156" s="103">
        <f t="shared" si="102"/>
        <v>0</v>
      </c>
      <c r="Q156" s="103">
        <f t="shared" si="102"/>
        <v>0</v>
      </c>
      <c r="R156" s="103">
        <f t="shared" si="102"/>
        <v>0</v>
      </c>
      <c r="S156" s="103">
        <f t="shared" si="102"/>
        <v>0</v>
      </c>
      <c r="T156" s="103">
        <f t="shared" si="102"/>
        <v>0</v>
      </c>
      <c r="U156" s="103">
        <f t="shared" si="102"/>
        <v>0</v>
      </c>
      <c r="V156" s="103">
        <f t="shared" si="102"/>
        <v>0</v>
      </c>
      <c r="W156" s="103">
        <f t="shared" si="102"/>
        <v>0</v>
      </c>
      <c r="X156" s="103">
        <f t="shared" si="102"/>
        <v>0</v>
      </c>
      <c r="Y156" s="103">
        <f t="shared" si="102"/>
        <v>0</v>
      </c>
      <c r="Z156" s="103">
        <f t="shared" si="102"/>
        <v>0</v>
      </c>
      <c r="AA156" s="103">
        <f t="shared" si="102"/>
        <v>0</v>
      </c>
      <c r="AB156" s="103">
        <f>AB53/3*2*AB9</f>
        <v>0</v>
      </c>
      <c r="AC156" s="103">
        <f>AC53/3*2*AC9</f>
        <v>0</v>
      </c>
      <c r="AD156" s="103"/>
      <c r="AE156" s="103"/>
      <c r="AF156" s="1179">
        <f t="shared" si="97"/>
        <v>2376</v>
      </c>
      <c r="AG156" s="98">
        <f t="shared" si="99"/>
        <v>0</v>
      </c>
    </row>
    <row r="157" spans="3:33" hidden="1">
      <c r="AD157" s="103"/>
      <c r="AE157" s="103"/>
      <c r="AF157" s="1179">
        <f t="shared" si="97"/>
        <v>0</v>
      </c>
      <c r="AG157" s="98" t="e" vm="1">
        <f t="shared" si="99"/>
        <v>#VALUE!</v>
      </c>
    </row>
    <row r="158" spans="3:33" hidden="1">
      <c r="C158" s="103" t="s">
        <v>1174</v>
      </c>
      <c r="AD158" s="103"/>
      <c r="AE158" s="103"/>
      <c r="AF158" s="1179">
        <f t="shared" si="97"/>
        <v>0</v>
      </c>
      <c r="AG158" s="98">
        <f t="shared" si="99"/>
        <v>0</v>
      </c>
    </row>
    <row r="159" spans="3:33" hidden="1">
      <c r="C159" s="109">
        <f t="shared" ref="C159:AA159" si="103">C64</f>
        <v>0</v>
      </c>
      <c r="D159" s="109">
        <f t="shared" si="103"/>
        <v>0</v>
      </c>
      <c r="E159" s="109" t="e" vm="1">
        <f t="shared" si="103"/>
        <v>#VALUE!</v>
      </c>
      <c r="F159" s="109">
        <f t="shared" si="103"/>
        <v>0</v>
      </c>
      <c r="G159" s="109">
        <f t="shared" si="103"/>
        <v>0</v>
      </c>
      <c r="H159" s="109">
        <f t="shared" si="103"/>
        <v>0</v>
      </c>
      <c r="I159" s="109">
        <f t="shared" si="103"/>
        <v>0</v>
      </c>
      <c r="J159" s="109">
        <f t="shared" si="103"/>
        <v>0</v>
      </c>
      <c r="K159" s="109">
        <f t="shared" si="103"/>
        <v>0</v>
      </c>
      <c r="L159" s="109">
        <f t="shared" si="103"/>
        <v>0</v>
      </c>
      <c r="M159" s="109">
        <f t="shared" si="103"/>
        <v>0</v>
      </c>
      <c r="N159" s="109">
        <f t="shared" si="103"/>
        <v>0</v>
      </c>
      <c r="O159" s="109">
        <f t="shared" si="103"/>
        <v>0</v>
      </c>
      <c r="P159" s="109">
        <f t="shared" si="103"/>
        <v>0</v>
      </c>
      <c r="Q159" s="109">
        <f t="shared" si="103"/>
        <v>0</v>
      </c>
      <c r="R159" s="109">
        <f t="shared" si="103"/>
        <v>0</v>
      </c>
      <c r="S159" s="109">
        <f t="shared" si="103"/>
        <v>0</v>
      </c>
      <c r="T159" s="109">
        <f t="shared" si="103"/>
        <v>0</v>
      </c>
      <c r="U159" s="109">
        <f t="shared" si="103"/>
        <v>0</v>
      </c>
      <c r="V159" s="109">
        <f t="shared" si="103"/>
        <v>0</v>
      </c>
      <c r="W159" s="109">
        <f t="shared" si="103"/>
        <v>0</v>
      </c>
      <c r="X159" s="109">
        <f t="shared" si="103"/>
        <v>0</v>
      </c>
      <c r="Y159" s="109">
        <f t="shared" si="103"/>
        <v>0</v>
      </c>
      <c r="Z159" s="109">
        <f t="shared" si="103"/>
        <v>0</v>
      </c>
      <c r="AA159" s="109">
        <f t="shared" si="103"/>
        <v>0</v>
      </c>
      <c r="AD159" s="103"/>
      <c r="AE159" s="103"/>
      <c r="AF159" s="1179" t="e" vm="1">
        <f t="shared" si="97"/>
        <v>#VALUE!</v>
      </c>
      <c r="AG159" s="98">
        <f t="shared" si="99"/>
        <v>0</v>
      </c>
    </row>
    <row r="160" spans="3:33" hidden="1">
      <c r="C160" s="103" t="s">
        <v>1178</v>
      </c>
      <c r="AD160" s="103"/>
      <c r="AE160" s="103"/>
      <c r="AF160" s="1179">
        <f t="shared" si="97"/>
        <v>0</v>
      </c>
      <c r="AG160" s="98">
        <f t="shared" si="99"/>
        <v>2376</v>
      </c>
    </row>
    <row r="161" spans="1:34" hidden="1">
      <c r="C161" s="109">
        <f t="shared" ref="C161:AC161" si="104">IF(C11="Orlov",0,C66)</f>
        <v>0</v>
      </c>
      <c r="D161" s="109">
        <f t="shared" si="104"/>
        <v>0</v>
      </c>
      <c r="E161" s="109" t="e" vm="1">
        <f t="shared" si="104"/>
        <v>#VALUE!</v>
      </c>
      <c r="F161" s="109">
        <f t="shared" si="104"/>
        <v>0</v>
      </c>
      <c r="G161" s="109">
        <f t="shared" si="104"/>
        <v>0</v>
      </c>
      <c r="H161" s="109">
        <f t="shared" si="104"/>
        <v>0</v>
      </c>
      <c r="I161" s="109">
        <f t="shared" si="104"/>
        <v>0</v>
      </c>
      <c r="J161" s="109">
        <f t="shared" si="104"/>
        <v>0</v>
      </c>
      <c r="K161" s="109">
        <f t="shared" si="104"/>
        <v>0</v>
      </c>
      <c r="L161" s="109">
        <f t="shared" si="104"/>
        <v>0</v>
      </c>
      <c r="M161" s="109">
        <f t="shared" si="104"/>
        <v>0</v>
      </c>
      <c r="N161" s="109">
        <f t="shared" si="104"/>
        <v>0</v>
      </c>
      <c r="O161" s="109">
        <f t="shared" si="104"/>
        <v>0</v>
      </c>
      <c r="P161" s="109">
        <f t="shared" si="104"/>
        <v>0</v>
      </c>
      <c r="Q161" s="109">
        <f t="shared" si="104"/>
        <v>0</v>
      </c>
      <c r="R161" s="109">
        <f t="shared" si="104"/>
        <v>0</v>
      </c>
      <c r="S161" s="109">
        <f t="shared" si="104"/>
        <v>0</v>
      </c>
      <c r="T161" s="109">
        <f t="shared" si="104"/>
        <v>0</v>
      </c>
      <c r="U161" s="109">
        <f t="shared" si="104"/>
        <v>0</v>
      </c>
      <c r="V161" s="109">
        <f t="shared" si="104"/>
        <v>0</v>
      </c>
      <c r="W161" s="109">
        <f t="shared" si="104"/>
        <v>0</v>
      </c>
      <c r="X161" s="109">
        <f t="shared" si="104"/>
        <v>0</v>
      </c>
      <c r="Y161" s="109">
        <f t="shared" si="104"/>
        <v>0</v>
      </c>
      <c r="Z161" s="109">
        <f t="shared" si="104"/>
        <v>0</v>
      </c>
      <c r="AA161" s="109">
        <f t="shared" si="104"/>
        <v>0</v>
      </c>
      <c r="AB161" s="109">
        <f t="shared" si="104"/>
        <v>0</v>
      </c>
      <c r="AC161" s="109">
        <f t="shared" si="104"/>
        <v>0</v>
      </c>
      <c r="AD161" s="103"/>
      <c r="AE161" s="103"/>
      <c r="AF161" s="1179"/>
      <c r="AG161" s="98">
        <f t="shared" si="99"/>
        <v>0</v>
      </c>
    </row>
    <row r="162" spans="1:34" s="2360" customFormat="1" hidden="1">
      <c r="A162" s="2359"/>
      <c r="B162" s="2364" t="s">
        <v>1413</v>
      </c>
      <c r="C162" s="2361">
        <f t="shared" ref="C162:AC162" si="105">C61</f>
        <v>0</v>
      </c>
      <c r="D162" s="2361">
        <f t="shared" si="105"/>
        <v>0</v>
      </c>
      <c r="E162" s="2361">
        <f t="shared" si="105"/>
        <v>0</v>
      </c>
      <c r="F162" s="2361">
        <f t="shared" si="105"/>
        <v>0</v>
      </c>
      <c r="G162" s="2361">
        <f t="shared" si="105"/>
        <v>0</v>
      </c>
      <c r="H162" s="2361">
        <f t="shared" si="105"/>
        <v>0</v>
      </c>
      <c r="I162" s="2361">
        <f t="shared" si="105"/>
        <v>0</v>
      </c>
      <c r="J162" s="2361">
        <f t="shared" si="105"/>
        <v>0</v>
      </c>
      <c r="K162" s="2361">
        <f t="shared" si="105"/>
        <v>0</v>
      </c>
      <c r="L162" s="2361">
        <f t="shared" si="105"/>
        <v>0</v>
      </c>
      <c r="M162" s="2361">
        <f t="shared" si="105"/>
        <v>0</v>
      </c>
      <c r="N162" s="2361">
        <f t="shared" si="105"/>
        <v>0</v>
      </c>
      <c r="O162" s="2361">
        <f t="shared" si="105"/>
        <v>0</v>
      </c>
      <c r="P162" s="2361">
        <f t="shared" si="105"/>
        <v>0</v>
      </c>
      <c r="Q162" s="2361">
        <f t="shared" si="105"/>
        <v>0</v>
      </c>
      <c r="R162" s="2361">
        <f t="shared" si="105"/>
        <v>0</v>
      </c>
      <c r="S162" s="2361">
        <f t="shared" si="105"/>
        <v>0</v>
      </c>
      <c r="T162" s="2361">
        <f t="shared" si="105"/>
        <v>0</v>
      </c>
      <c r="U162" s="2361">
        <f t="shared" si="105"/>
        <v>0</v>
      </c>
      <c r="V162" s="2361">
        <f t="shared" si="105"/>
        <v>0</v>
      </c>
      <c r="W162" s="2361">
        <f t="shared" si="105"/>
        <v>0</v>
      </c>
      <c r="X162" s="2361">
        <f t="shared" si="105"/>
        <v>0</v>
      </c>
      <c r="Y162" s="2361">
        <f t="shared" si="105"/>
        <v>0</v>
      </c>
      <c r="Z162" s="2361">
        <f t="shared" si="105"/>
        <v>0</v>
      </c>
      <c r="AA162" s="2361">
        <f t="shared" si="105"/>
        <v>0</v>
      </c>
      <c r="AB162" s="2361">
        <f t="shared" si="105"/>
        <v>0</v>
      </c>
      <c r="AC162" s="2361">
        <f t="shared" si="105"/>
        <v>0</v>
      </c>
      <c r="AD162" s="2362"/>
      <c r="AE162" s="2362"/>
      <c r="AF162" s="2363"/>
      <c r="AG162" s="98">
        <f t="shared" si="99"/>
        <v>0</v>
      </c>
      <c r="AH162" s="98"/>
    </row>
    <row r="163" spans="1:34" hidden="1">
      <c r="B163" s="98" t="s">
        <v>1385</v>
      </c>
      <c r="C163" s="109">
        <f t="shared" ref="C163:AC163" si="106">C62</f>
        <v>0</v>
      </c>
      <c r="D163" s="109">
        <f t="shared" si="106"/>
        <v>0</v>
      </c>
      <c r="E163" s="109">
        <f t="shared" si="106"/>
        <v>0</v>
      </c>
      <c r="F163" s="109">
        <f t="shared" si="106"/>
        <v>0</v>
      </c>
      <c r="G163" s="109">
        <f t="shared" si="106"/>
        <v>0</v>
      </c>
      <c r="H163" s="109">
        <f t="shared" si="106"/>
        <v>0</v>
      </c>
      <c r="I163" s="109">
        <f t="shared" si="106"/>
        <v>0</v>
      </c>
      <c r="J163" s="109">
        <f t="shared" si="106"/>
        <v>0</v>
      </c>
      <c r="K163" s="109">
        <f t="shared" si="106"/>
        <v>0</v>
      </c>
      <c r="L163" s="109">
        <f t="shared" si="106"/>
        <v>0</v>
      </c>
      <c r="M163" s="109">
        <f t="shared" si="106"/>
        <v>0</v>
      </c>
      <c r="N163" s="109">
        <f t="shared" si="106"/>
        <v>0</v>
      </c>
      <c r="O163" s="109">
        <f t="shared" si="106"/>
        <v>0</v>
      </c>
      <c r="P163" s="109">
        <f t="shared" si="106"/>
        <v>0</v>
      </c>
      <c r="Q163" s="109">
        <f t="shared" si="106"/>
        <v>0</v>
      </c>
      <c r="R163" s="109">
        <f t="shared" si="106"/>
        <v>0</v>
      </c>
      <c r="S163" s="109">
        <f t="shared" si="106"/>
        <v>0</v>
      </c>
      <c r="T163" s="109">
        <f t="shared" si="106"/>
        <v>0</v>
      </c>
      <c r="U163" s="109">
        <f t="shared" si="106"/>
        <v>0</v>
      </c>
      <c r="V163" s="109">
        <f t="shared" si="106"/>
        <v>0</v>
      </c>
      <c r="W163" s="109">
        <f t="shared" si="106"/>
        <v>0</v>
      </c>
      <c r="X163" s="109">
        <f t="shared" si="106"/>
        <v>0</v>
      </c>
      <c r="Y163" s="109">
        <f t="shared" si="106"/>
        <v>0</v>
      </c>
      <c r="Z163" s="109">
        <f t="shared" si="106"/>
        <v>0</v>
      </c>
      <c r="AA163" s="109">
        <f t="shared" si="106"/>
        <v>0</v>
      </c>
      <c r="AB163" s="109">
        <f t="shared" si="106"/>
        <v>0</v>
      </c>
      <c r="AC163" s="109">
        <f t="shared" si="106"/>
        <v>0</v>
      </c>
      <c r="AD163" s="103"/>
      <c r="AE163" s="103"/>
      <c r="AF163" s="1179"/>
      <c r="AG163" s="2360" t="e" vm="1">
        <f t="shared" si="99"/>
        <v>#VALUE!</v>
      </c>
      <c r="AH163" s="2360"/>
    </row>
    <row r="164" spans="1:34" hidden="1">
      <c r="B164" s="98" t="s">
        <v>1416</v>
      </c>
      <c r="C164" s="109">
        <f t="shared" ref="C164:AA164" si="107">C70*C9</f>
        <v>0</v>
      </c>
      <c r="D164" s="109">
        <f t="shared" si="107"/>
        <v>0</v>
      </c>
      <c r="E164" s="109" t="e" vm="1">
        <f t="shared" si="107"/>
        <v>#VALUE!</v>
      </c>
      <c r="F164" s="109">
        <f t="shared" si="107"/>
        <v>0</v>
      </c>
      <c r="G164" s="109">
        <f t="shared" si="107"/>
        <v>0</v>
      </c>
      <c r="H164" s="109">
        <f t="shared" si="107"/>
        <v>0</v>
      </c>
      <c r="I164" s="109">
        <f t="shared" si="107"/>
        <v>0</v>
      </c>
      <c r="J164" s="109">
        <f t="shared" si="107"/>
        <v>0</v>
      </c>
      <c r="K164" s="109">
        <f t="shared" si="107"/>
        <v>0</v>
      </c>
      <c r="L164" s="109">
        <f t="shared" si="107"/>
        <v>0</v>
      </c>
      <c r="M164" s="109">
        <f t="shared" si="107"/>
        <v>0</v>
      </c>
      <c r="N164" s="109">
        <f t="shared" si="107"/>
        <v>0</v>
      </c>
      <c r="O164" s="109">
        <f t="shared" si="107"/>
        <v>0</v>
      </c>
      <c r="P164" s="109">
        <f t="shared" si="107"/>
        <v>0</v>
      </c>
      <c r="Q164" s="109">
        <f t="shared" si="107"/>
        <v>0</v>
      </c>
      <c r="R164" s="109">
        <f t="shared" si="107"/>
        <v>0</v>
      </c>
      <c r="S164" s="109">
        <f t="shared" si="107"/>
        <v>0</v>
      </c>
      <c r="T164" s="109">
        <f t="shared" si="107"/>
        <v>0</v>
      </c>
      <c r="U164" s="109">
        <f t="shared" si="107"/>
        <v>0</v>
      </c>
      <c r="V164" s="109">
        <f t="shared" si="107"/>
        <v>0</v>
      </c>
      <c r="W164" s="109">
        <f t="shared" si="107"/>
        <v>0</v>
      </c>
      <c r="X164" s="109">
        <f t="shared" si="107"/>
        <v>0</v>
      </c>
      <c r="Y164" s="109">
        <f t="shared" si="107"/>
        <v>0</v>
      </c>
      <c r="Z164" s="109">
        <f t="shared" si="107"/>
        <v>0</v>
      </c>
      <c r="AA164" s="109">
        <f t="shared" si="107"/>
        <v>0</v>
      </c>
      <c r="AB164" s="109"/>
      <c r="AC164" s="109"/>
      <c r="AD164" s="103"/>
      <c r="AE164" s="103"/>
      <c r="AF164" s="1179"/>
      <c r="AG164" s="98">
        <f t="shared" si="99"/>
        <v>0</v>
      </c>
    </row>
    <row r="165" spans="1:34" hidden="1">
      <c r="C165" s="109" t="s">
        <v>1181</v>
      </c>
      <c r="D165" s="109"/>
      <c r="E165" s="109"/>
      <c r="AD165" s="103"/>
      <c r="AE165" s="103"/>
      <c r="AF165" s="1179"/>
    </row>
    <row r="166" spans="1:34" hidden="1">
      <c r="C166" s="109"/>
      <c r="D166" s="109"/>
      <c r="E166" s="109">
        <f t="shared" ref="E166:AC166" si="108">IF(E11="Orlov",0,E41*40/12*19*E16*E9)</f>
        <v>0</v>
      </c>
      <c r="F166" s="109">
        <f t="shared" si="108"/>
        <v>0</v>
      </c>
      <c r="G166" s="109">
        <f t="shared" si="108"/>
        <v>0</v>
      </c>
      <c r="H166" s="109">
        <f t="shared" si="108"/>
        <v>0</v>
      </c>
      <c r="I166" s="109">
        <f t="shared" si="108"/>
        <v>0</v>
      </c>
      <c r="J166" s="109">
        <f t="shared" si="108"/>
        <v>0</v>
      </c>
      <c r="K166" s="109">
        <f t="shared" si="108"/>
        <v>0</v>
      </c>
      <c r="L166" s="109">
        <f t="shared" si="108"/>
        <v>0</v>
      </c>
      <c r="M166" s="109">
        <f t="shared" si="108"/>
        <v>0</v>
      </c>
      <c r="N166" s="109">
        <f t="shared" si="108"/>
        <v>0</v>
      </c>
      <c r="O166" s="109">
        <f t="shared" si="108"/>
        <v>0</v>
      </c>
      <c r="P166" s="109">
        <f t="shared" si="108"/>
        <v>0</v>
      </c>
      <c r="Q166" s="109">
        <f t="shared" si="108"/>
        <v>0</v>
      </c>
      <c r="R166" s="109">
        <f t="shared" si="108"/>
        <v>0</v>
      </c>
      <c r="S166" s="109">
        <f t="shared" si="108"/>
        <v>0</v>
      </c>
      <c r="T166" s="109">
        <f t="shared" si="108"/>
        <v>0</v>
      </c>
      <c r="U166" s="109">
        <f t="shared" si="108"/>
        <v>0</v>
      </c>
      <c r="V166" s="109">
        <f t="shared" si="108"/>
        <v>0</v>
      </c>
      <c r="W166" s="109">
        <f t="shared" si="108"/>
        <v>0</v>
      </c>
      <c r="X166" s="109">
        <f t="shared" si="108"/>
        <v>0</v>
      </c>
      <c r="Y166" s="109">
        <f t="shared" si="108"/>
        <v>0</v>
      </c>
      <c r="Z166" s="109">
        <f t="shared" si="108"/>
        <v>0</v>
      </c>
      <c r="AA166" s="109">
        <f t="shared" si="108"/>
        <v>0</v>
      </c>
      <c r="AB166" s="109">
        <f t="shared" si="108"/>
        <v>0</v>
      </c>
      <c r="AC166" s="109">
        <f t="shared" si="108"/>
        <v>0</v>
      </c>
      <c r="AD166" s="103"/>
      <c r="AE166" s="103"/>
      <c r="AF166" s="1179"/>
    </row>
    <row r="167" spans="1:34" hidden="1">
      <c r="C167" s="109" t="s">
        <v>1182</v>
      </c>
      <c r="D167" s="109"/>
      <c r="E167" s="109"/>
      <c r="AD167" s="103"/>
      <c r="AE167" s="103"/>
      <c r="AF167" s="1179"/>
    </row>
    <row r="168" spans="1:34" hidden="1">
      <c r="C168" s="109">
        <f t="shared" ref="C168:AC168" si="109">IF(C11="Orlov",0,C42*C9)</f>
        <v>0</v>
      </c>
      <c r="D168" s="109">
        <f t="shared" si="109"/>
        <v>0</v>
      </c>
      <c r="E168" s="109">
        <f t="shared" si="109"/>
        <v>0</v>
      </c>
      <c r="F168" s="109">
        <f t="shared" si="109"/>
        <v>0</v>
      </c>
      <c r="G168" s="109">
        <f t="shared" si="109"/>
        <v>0</v>
      </c>
      <c r="H168" s="109">
        <f t="shared" si="109"/>
        <v>0</v>
      </c>
      <c r="I168" s="109">
        <f t="shared" si="109"/>
        <v>0</v>
      </c>
      <c r="J168" s="109">
        <f t="shared" si="109"/>
        <v>0</v>
      </c>
      <c r="K168" s="109">
        <f t="shared" si="109"/>
        <v>0</v>
      </c>
      <c r="L168" s="109">
        <f t="shared" si="109"/>
        <v>0</v>
      </c>
      <c r="M168" s="109">
        <f t="shared" si="109"/>
        <v>0</v>
      </c>
      <c r="N168" s="109">
        <f t="shared" si="109"/>
        <v>0</v>
      </c>
      <c r="O168" s="109">
        <f t="shared" si="109"/>
        <v>0</v>
      </c>
      <c r="P168" s="109">
        <f t="shared" si="109"/>
        <v>0</v>
      </c>
      <c r="Q168" s="109">
        <f t="shared" si="109"/>
        <v>0</v>
      </c>
      <c r="R168" s="109">
        <f t="shared" si="109"/>
        <v>0</v>
      </c>
      <c r="S168" s="109">
        <f t="shared" si="109"/>
        <v>0</v>
      </c>
      <c r="T168" s="109">
        <f t="shared" si="109"/>
        <v>0</v>
      </c>
      <c r="U168" s="109">
        <f t="shared" si="109"/>
        <v>0</v>
      </c>
      <c r="V168" s="109">
        <f t="shared" si="109"/>
        <v>0</v>
      </c>
      <c r="W168" s="109">
        <f t="shared" si="109"/>
        <v>0</v>
      </c>
      <c r="X168" s="109">
        <f t="shared" si="109"/>
        <v>0</v>
      </c>
      <c r="Y168" s="109">
        <f t="shared" si="109"/>
        <v>0</v>
      </c>
      <c r="Z168" s="109">
        <f t="shared" si="109"/>
        <v>0</v>
      </c>
      <c r="AA168" s="109">
        <f t="shared" si="109"/>
        <v>0</v>
      </c>
      <c r="AB168" s="109">
        <f t="shared" si="109"/>
        <v>0</v>
      </c>
      <c r="AC168" s="109">
        <f t="shared" si="109"/>
        <v>0</v>
      </c>
      <c r="AD168" s="103"/>
      <c r="AE168" s="103"/>
      <c r="AF168" s="1179"/>
    </row>
    <row r="169" spans="1:34" hidden="1">
      <c r="C169" s="109" t="s">
        <v>1183</v>
      </c>
      <c r="D169" s="109"/>
      <c r="E169" s="109"/>
      <c r="AD169" s="103"/>
      <c r="AE169" s="103"/>
      <c r="AF169" s="1179"/>
    </row>
    <row r="170" spans="1:34" hidden="1">
      <c r="C170" s="109"/>
      <c r="D170" s="109"/>
      <c r="E170" s="109" t="e" vm="1">
        <f t="shared" ref="E170:AC170" si="110">E60</f>
        <v>#VALUE!</v>
      </c>
      <c r="F170" s="109">
        <f t="shared" si="110"/>
        <v>0</v>
      </c>
      <c r="G170" s="109">
        <f t="shared" si="110"/>
        <v>0</v>
      </c>
      <c r="H170" s="109">
        <f t="shared" si="110"/>
        <v>0</v>
      </c>
      <c r="I170" s="109">
        <f t="shared" si="110"/>
        <v>0</v>
      </c>
      <c r="J170" s="109">
        <f t="shared" si="110"/>
        <v>0</v>
      </c>
      <c r="K170" s="109">
        <f t="shared" si="110"/>
        <v>0</v>
      </c>
      <c r="L170" s="109">
        <f t="shared" si="110"/>
        <v>0</v>
      </c>
      <c r="M170" s="109">
        <f t="shared" si="110"/>
        <v>0</v>
      </c>
      <c r="N170" s="109">
        <f t="shared" si="110"/>
        <v>0</v>
      </c>
      <c r="O170" s="109">
        <f t="shared" si="110"/>
        <v>0</v>
      </c>
      <c r="P170" s="109">
        <f t="shared" si="110"/>
        <v>0</v>
      </c>
      <c r="Q170" s="109">
        <f t="shared" si="110"/>
        <v>0</v>
      </c>
      <c r="R170" s="109">
        <f t="shared" si="110"/>
        <v>0</v>
      </c>
      <c r="S170" s="109">
        <f t="shared" si="110"/>
        <v>0</v>
      </c>
      <c r="T170" s="109">
        <f t="shared" si="110"/>
        <v>0</v>
      </c>
      <c r="U170" s="109">
        <f t="shared" si="110"/>
        <v>0</v>
      </c>
      <c r="V170" s="109">
        <f t="shared" si="110"/>
        <v>0</v>
      </c>
      <c r="W170" s="109">
        <f t="shared" si="110"/>
        <v>0</v>
      </c>
      <c r="X170" s="109">
        <f t="shared" si="110"/>
        <v>0</v>
      </c>
      <c r="Y170" s="109">
        <f t="shared" si="110"/>
        <v>0</v>
      </c>
      <c r="Z170" s="109">
        <f t="shared" si="110"/>
        <v>0</v>
      </c>
      <c r="AA170" s="109">
        <f t="shared" si="110"/>
        <v>0</v>
      </c>
      <c r="AB170" s="109">
        <f t="shared" si="110"/>
        <v>0</v>
      </c>
      <c r="AC170" s="109">
        <f t="shared" si="110"/>
        <v>0</v>
      </c>
      <c r="AD170" s="103"/>
      <c r="AE170" s="103"/>
      <c r="AF170" s="1179"/>
    </row>
    <row r="171" spans="1:34" hidden="1">
      <c r="C171" s="109">
        <f>C170+C168+C166+C161+C159+C156+C153+C148+C146+C144+C141+C138+C135+C131+C129+C127+C124+C121+C118+C133+C162+C163+C151+C164</f>
        <v>0</v>
      </c>
      <c r="D171" s="109">
        <f t="shared" ref="D171:AA171" si="111">D170+D168+D166+D161+D159+D156+D153+D148+D146+D144+D141+D138+D135+D131+D129+D127+D124+D121+D118+D133+D162+D163+D151+D164</f>
        <v>0</v>
      </c>
      <c r="E171" s="109" t="e" vm="1">
        <f t="shared" si="111"/>
        <v>#VALUE!</v>
      </c>
      <c r="F171" s="109">
        <f t="shared" si="111"/>
        <v>0</v>
      </c>
      <c r="G171" s="109">
        <f t="shared" si="111"/>
        <v>0</v>
      </c>
      <c r="H171" s="109">
        <f t="shared" si="111"/>
        <v>0</v>
      </c>
      <c r="I171" s="109">
        <f t="shared" si="111"/>
        <v>0</v>
      </c>
      <c r="J171" s="109">
        <f t="shared" si="111"/>
        <v>0</v>
      </c>
      <c r="K171" s="109">
        <f t="shared" si="111"/>
        <v>0</v>
      </c>
      <c r="L171" s="109">
        <f t="shared" si="111"/>
        <v>0</v>
      </c>
      <c r="M171" s="109">
        <f t="shared" si="111"/>
        <v>0</v>
      </c>
      <c r="N171" s="109">
        <f t="shared" si="111"/>
        <v>0</v>
      </c>
      <c r="O171" s="109">
        <f t="shared" si="111"/>
        <v>0</v>
      </c>
      <c r="P171" s="109">
        <f t="shared" si="111"/>
        <v>0</v>
      </c>
      <c r="Q171" s="109">
        <f t="shared" si="111"/>
        <v>0</v>
      </c>
      <c r="R171" s="109">
        <f t="shared" si="111"/>
        <v>0</v>
      </c>
      <c r="S171" s="109">
        <f t="shared" si="111"/>
        <v>0</v>
      </c>
      <c r="T171" s="109">
        <f t="shared" si="111"/>
        <v>0</v>
      </c>
      <c r="U171" s="109">
        <f t="shared" si="111"/>
        <v>0</v>
      </c>
      <c r="V171" s="109">
        <f t="shared" si="111"/>
        <v>0</v>
      </c>
      <c r="W171" s="109">
        <f t="shared" si="111"/>
        <v>0</v>
      </c>
      <c r="X171" s="109">
        <f t="shared" si="111"/>
        <v>0</v>
      </c>
      <c r="Y171" s="109">
        <f t="shared" si="111"/>
        <v>0</v>
      </c>
      <c r="Z171" s="109">
        <f t="shared" si="111"/>
        <v>0</v>
      </c>
      <c r="AA171" s="109">
        <f t="shared" si="111"/>
        <v>0</v>
      </c>
      <c r="AB171" s="109">
        <f>AB170+AB168+AB166+AB161+AB159+AB156+AB153+AB148+AB146+AB144+AB141+AB138+AB135+AB131+AB129+AB127+AB124+AB121+AB118+AB133+AB162+AB163</f>
        <v>0</v>
      </c>
      <c r="AC171" s="109">
        <f>AC170+AC168+AC166+AC161+AC159+AC156+AC153+AC148+AC146+AC144+AC141+AC138+AC135+AC131+AC129+AC127+AC124+AC121+AC118+AC133+AC162+AC163</f>
        <v>0</v>
      </c>
      <c r="AD171" s="109" t="e" vm="1">
        <f>SUM(C171:AC171)</f>
        <v>#VALUE!</v>
      </c>
      <c r="AE171" s="103"/>
      <c r="AF171" s="1179" t="e" vm="1">
        <f>SUM(AF118:AF161)</f>
        <v>#VALUE!</v>
      </c>
    </row>
    <row r="172" spans="1:34" hidden="1">
      <c r="AD172" s="103"/>
      <c r="AE172" s="103"/>
      <c r="AF172" s="1179">
        <f>AH102</f>
        <v>0</v>
      </c>
    </row>
    <row r="173" spans="1:34" hidden="1">
      <c r="C173" s="109">
        <f t="shared" ref="C173:AD173" si="112">C171-C67</f>
        <v>0</v>
      </c>
      <c r="D173" s="109">
        <f t="shared" si="112"/>
        <v>0</v>
      </c>
      <c r="E173" s="109" t="e" vm="1">
        <f t="shared" si="112"/>
        <v>#VALUE!</v>
      </c>
      <c r="F173" s="109">
        <f t="shared" si="112"/>
        <v>0</v>
      </c>
      <c r="G173" s="109">
        <f t="shared" si="112"/>
        <v>0</v>
      </c>
      <c r="H173" s="109">
        <f t="shared" si="112"/>
        <v>0</v>
      </c>
      <c r="I173" s="109">
        <f t="shared" si="112"/>
        <v>0</v>
      </c>
      <c r="J173" s="109">
        <f t="shared" si="112"/>
        <v>0</v>
      </c>
      <c r="K173" s="109">
        <f t="shared" si="112"/>
        <v>0</v>
      </c>
      <c r="L173" s="109">
        <f t="shared" si="112"/>
        <v>0</v>
      </c>
      <c r="M173" s="109">
        <f t="shared" si="112"/>
        <v>0</v>
      </c>
      <c r="N173" s="109">
        <f t="shared" si="112"/>
        <v>0</v>
      </c>
      <c r="O173" s="109">
        <f t="shared" si="112"/>
        <v>0</v>
      </c>
      <c r="P173" s="109">
        <f t="shared" si="112"/>
        <v>0</v>
      </c>
      <c r="Q173" s="109">
        <f t="shared" si="112"/>
        <v>0</v>
      </c>
      <c r="R173" s="109">
        <f t="shared" si="112"/>
        <v>0</v>
      </c>
      <c r="S173" s="109">
        <f t="shared" si="112"/>
        <v>0</v>
      </c>
      <c r="T173" s="109">
        <f t="shared" si="112"/>
        <v>0</v>
      </c>
      <c r="U173" s="109">
        <f t="shared" si="112"/>
        <v>0</v>
      </c>
      <c r="V173" s="109">
        <f t="shared" si="112"/>
        <v>0</v>
      </c>
      <c r="W173" s="109">
        <f t="shared" si="112"/>
        <v>0</v>
      </c>
      <c r="X173" s="109">
        <f t="shared" si="112"/>
        <v>0</v>
      </c>
      <c r="Y173" s="109">
        <f t="shared" si="112"/>
        <v>0</v>
      </c>
      <c r="Z173" s="109">
        <f t="shared" si="112"/>
        <v>0</v>
      </c>
      <c r="AA173" s="109">
        <f t="shared" si="112"/>
        <v>0</v>
      </c>
      <c r="AB173" s="109">
        <f t="shared" si="112"/>
        <v>0</v>
      </c>
      <c r="AC173" s="109">
        <f t="shared" si="112"/>
        <v>0</v>
      </c>
      <c r="AD173" s="109" t="e" vm="1">
        <f t="shared" si="112"/>
        <v>#VALUE!</v>
      </c>
      <c r="AE173" s="103"/>
      <c r="AF173" s="1179" t="e" vm="1">
        <f>SUM(AF171:AF172)</f>
        <v>#VALUE!</v>
      </c>
    </row>
    <row r="174" spans="1:34" hidden="1">
      <c r="AD174" s="103"/>
      <c r="AE174" s="103"/>
      <c r="AF174" s="98">
        <f>SUM(E174:AE174)</f>
        <v>0</v>
      </c>
    </row>
    <row r="175" spans="1:34" hidden="1">
      <c r="AD175" s="103"/>
      <c r="AE175" s="103"/>
      <c r="AF175" s="1182">
        <f>AD80</f>
        <v>0</v>
      </c>
    </row>
    <row r="176" spans="1:34" hidden="1"/>
    <row r="177" spans="5:27" hidden="1"/>
    <row r="178" spans="5:27" hidden="1">
      <c r="E178" s="103">
        <f t="shared" ref="E178:AA178" si="113">IF(E4="BH1",4700*E16*E18/12,0)</f>
        <v>0</v>
      </c>
      <c r="F178" s="103">
        <f t="shared" si="113"/>
        <v>0</v>
      </c>
      <c r="G178" s="103">
        <f t="shared" si="113"/>
        <v>0</v>
      </c>
      <c r="H178" s="103">
        <f t="shared" si="113"/>
        <v>0</v>
      </c>
      <c r="I178" s="103">
        <f t="shared" si="113"/>
        <v>0</v>
      </c>
      <c r="J178" s="103">
        <f t="shared" si="113"/>
        <v>0</v>
      </c>
      <c r="K178" s="103">
        <f t="shared" si="113"/>
        <v>0</v>
      </c>
      <c r="L178" s="103">
        <f t="shared" si="113"/>
        <v>0</v>
      </c>
      <c r="M178" s="103">
        <f t="shared" si="113"/>
        <v>0</v>
      </c>
      <c r="N178" s="103">
        <f t="shared" si="113"/>
        <v>0</v>
      </c>
      <c r="O178" s="103">
        <f t="shared" si="113"/>
        <v>0</v>
      </c>
      <c r="P178" s="103">
        <f t="shared" si="113"/>
        <v>0</v>
      </c>
      <c r="Q178" s="103">
        <f t="shared" si="113"/>
        <v>0</v>
      </c>
      <c r="R178" s="103">
        <f t="shared" si="113"/>
        <v>0</v>
      </c>
      <c r="S178" s="103">
        <f t="shared" si="113"/>
        <v>0</v>
      </c>
      <c r="T178" s="103">
        <f t="shared" si="113"/>
        <v>0</v>
      </c>
      <c r="U178" s="103">
        <f t="shared" si="113"/>
        <v>0</v>
      </c>
      <c r="V178" s="103">
        <f t="shared" si="113"/>
        <v>0</v>
      </c>
      <c r="W178" s="103">
        <f t="shared" si="113"/>
        <v>0</v>
      </c>
      <c r="X178" s="103">
        <f t="shared" si="113"/>
        <v>0</v>
      </c>
      <c r="Y178" s="103">
        <f t="shared" si="113"/>
        <v>0</v>
      </c>
      <c r="Z178" s="103">
        <f t="shared" si="113"/>
        <v>0</v>
      </c>
      <c r="AA178" s="103">
        <f t="shared" si="113"/>
        <v>0</v>
      </c>
    </row>
    <row r="179" spans="5:27" hidden="1">
      <c r="E179" s="103">
        <f t="shared" ref="E179:AA179" si="114">IF(E4="BH2",4700*E16*E18/12,0)</f>
        <v>0</v>
      </c>
      <c r="F179" s="103">
        <f t="shared" si="114"/>
        <v>0</v>
      </c>
      <c r="G179" s="103">
        <f t="shared" si="114"/>
        <v>0</v>
      </c>
      <c r="H179" s="103">
        <f t="shared" si="114"/>
        <v>0</v>
      </c>
      <c r="I179" s="103">
        <f t="shared" si="114"/>
        <v>0</v>
      </c>
      <c r="J179" s="103">
        <f t="shared" si="114"/>
        <v>0</v>
      </c>
      <c r="K179" s="103">
        <f t="shared" si="114"/>
        <v>0</v>
      </c>
      <c r="L179" s="103">
        <f t="shared" si="114"/>
        <v>0</v>
      </c>
      <c r="M179" s="103">
        <f t="shared" si="114"/>
        <v>0</v>
      </c>
      <c r="N179" s="103">
        <f t="shared" si="114"/>
        <v>0</v>
      </c>
      <c r="O179" s="103">
        <f t="shared" si="114"/>
        <v>0</v>
      </c>
      <c r="P179" s="103">
        <f t="shared" si="114"/>
        <v>0</v>
      </c>
      <c r="Q179" s="103">
        <f t="shared" si="114"/>
        <v>0</v>
      </c>
      <c r="R179" s="103">
        <f t="shared" si="114"/>
        <v>0</v>
      </c>
      <c r="S179" s="103">
        <f t="shared" si="114"/>
        <v>0</v>
      </c>
      <c r="T179" s="103">
        <f t="shared" si="114"/>
        <v>0</v>
      </c>
      <c r="U179" s="103">
        <f t="shared" si="114"/>
        <v>0</v>
      </c>
      <c r="V179" s="103">
        <f t="shared" si="114"/>
        <v>0</v>
      </c>
      <c r="W179" s="103">
        <f t="shared" si="114"/>
        <v>0</v>
      </c>
      <c r="X179" s="103">
        <f t="shared" si="114"/>
        <v>0</v>
      </c>
      <c r="Y179" s="103">
        <f t="shared" si="114"/>
        <v>0</v>
      </c>
      <c r="Z179" s="103">
        <f t="shared" si="114"/>
        <v>0</v>
      </c>
      <c r="AA179" s="103">
        <f t="shared" si="114"/>
        <v>0</v>
      </c>
    </row>
    <row r="180" spans="5:27" hidden="1">
      <c r="E180" s="103">
        <f t="shared" ref="E180:AA180" si="115">IF(E4="BH3",4700*E16*E18/12,0)</f>
        <v>0</v>
      </c>
      <c r="F180" s="103">
        <f t="shared" si="115"/>
        <v>0</v>
      </c>
      <c r="G180" s="103">
        <f t="shared" si="115"/>
        <v>0</v>
      </c>
      <c r="H180" s="103">
        <f t="shared" si="115"/>
        <v>0</v>
      </c>
      <c r="I180" s="103">
        <f t="shared" si="115"/>
        <v>0</v>
      </c>
      <c r="J180" s="103">
        <f t="shared" si="115"/>
        <v>0</v>
      </c>
      <c r="K180" s="103">
        <f t="shared" si="115"/>
        <v>0</v>
      </c>
      <c r="L180" s="103">
        <f t="shared" si="115"/>
        <v>0</v>
      </c>
      <c r="M180" s="103">
        <f t="shared" si="115"/>
        <v>0</v>
      </c>
      <c r="N180" s="103">
        <f t="shared" si="115"/>
        <v>0</v>
      </c>
      <c r="O180" s="103">
        <f t="shared" si="115"/>
        <v>0</v>
      </c>
      <c r="P180" s="103">
        <f t="shared" si="115"/>
        <v>0</v>
      </c>
      <c r="Q180" s="103">
        <f t="shared" si="115"/>
        <v>0</v>
      </c>
      <c r="R180" s="103">
        <f t="shared" si="115"/>
        <v>0</v>
      </c>
      <c r="S180" s="103">
        <f t="shared" si="115"/>
        <v>0</v>
      </c>
      <c r="T180" s="103">
        <f t="shared" si="115"/>
        <v>0</v>
      </c>
      <c r="U180" s="103">
        <f t="shared" si="115"/>
        <v>0</v>
      </c>
      <c r="V180" s="103">
        <f t="shared" si="115"/>
        <v>0</v>
      </c>
      <c r="W180" s="103">
        <f t="shared" si="115"/>
        <v>0</v>
      </c>
      <c r="X180" s="103">
        <f t="shared" si="115"/>
        <v>0</v>
      </c>
      <c r="Y180" s="103">
        <f t="shared" si="115"/>
        <v>0</v>
      </c>
      <c r="Z180" s="103">
        <f t="shared" si="115"/>
        <v>0</v>
      </c>
      <c r="AA180" s="103">
        <f t="shared" si="115"/>
        <v>0</v>
      </c>
    </row>
    <row r="181" spans="5:27" hidden="1">
      <c r="E181" s="103">
        <f t="shared" ref="E181:AA181" si="116">IF(E4="BH4",4700*E16*E18/12,0)</f>
        <v>0</v>
      </c>
      <c r="F181" s="103">
        <f t="shared" si="116"/>
        <v>0</v>
      </c>
      <c r="G181" s="103">
        <f t="shared" si="116"/>
        <v>0</v>
      </c>
      <c r="H181" s="103">
        <f t="shared" si="116"/>
        <v>0</v>
      </c>
      <c r="I181" s="103">
        <f t="shared" si="116"/>
        <v>0</v>
      </c>
      <c r="J181" s="103">
        <f t="shared" si="116"/>
        <v>0</v>
      </c>
      <c r="K181" s="103">
        <f t="shared" si="116"/>
        <v>0</v>
      </c>
      <c r="L181" s="103">
        <f t="shared" si="116"/>
        <v>0</v>
      </c>
      <c r="M181" s="103">
        <f t="shared" si="116"/>
        <v>0</v>
      </c>
      <c r="N181" s="103">
        <f t="shared" si="116"/>
        <v>0</v>
      </c>
      <c r="O181" s="103">
        <f t="shared" si="116"/>
        <v>0</v>
      </c>
      <c r="P181" s="103">
        <f t="shared" si="116"/>
        <v>0</v>
      </c>
      <c r="Q181" s="103">
        <f t="shared" si="116"/>
        <v>0</v>
      </c>
      <c r="R181" s="103">
        <f t="shared" si="116"/>
        <v>0</v>
      </c>
      <c r="S181" s="103">
        <f t="shared" si="116"/>
        <v>0</v>
      </c>
      <c r="T181" s="103">
        <f t="shared" si="116"/>
        <v>0</v>
      </c>
      <c r="U181" s="103">
        <f t="shared" si="116"/>
        <v>0</v>
      </c>
      <c r="V181" s="103">
        <f t="shared" si="116"/>
        <v>0</v>
      </c>
      <c r="W181" s="103">
        <f t="shared" si="116"/>
        <v>0</v>
      </c>
      <c r="X181" s="103">
        <f t="shared" si="116"/>
        <v>0</v>
      </c>
      <c r="Y181" s="103">
        <f t="shared" si="116"/>
        <v>0</v>
      </c>
      <c r="Z181" s="103">
        <f t="shared" si="116"/>
        <v>0</v>
      </c>
      <c r="AA181" s="103">
        <f t="shared" si="116"/>
        <v>0</v>
      </c>
    </row>
    <row r="182" spans="5:27" hidden="1"/>
    <row r="183" spans="5:27" hidden="1"/>
    <row r="184" spans="5:27" hidden="1"/>
    <row r="185" spans="5:27" hidden="1"/>
  </sheetData>
  <sheetProtection sheet="1" formatCells="0" formatColumns="0" formatRows="0" insertColumns="0"/>
  <mergeCells count="83">
    <mergeCell ref="A13:B13"/>
    <mergeCell ref="A14:B14"/>
    <mergeCell ref="A38:B38"/>
    <mergeCell ref="A39:B39"/>
    <mergeCell ref="A40:B40"/>
    <mergeCell ref="A33:B33"/>
    <mergeCell ref="A34:B34"/>
    <mergeCell ref="A35:B35"/>
    <mergeCell ref="A36:B36"/>
    <mergeCell ref="A37:B37"/>
    <mergeCell ref="A19:B19"/>
    <mergeCell ref="A95:A96"/>
    <mergeCell ref="A74:B74"/>
    <mergeCell ref="A75:B75"/>
    <mergeCell ref="A76:B76"/>
    <mergeCell ref="A78:B78"/>
    <mergeCell ref="A79:B79"/>
    <mergeCell ref="A80:B80"/>
    <mergeCell ref="A81:B81"/>
    <mergeCell ref="A85:AC85"/>
    <mergeCell ref="A93:A94"/>
    <mergeCell ref="A86:B86"/>
    <mergeCell ref="A91:A92"/>
    <mergeCell ref="A2:B2"/>
    <mergeCell ref="A72:AC72"/>
    <mergeCell ref="A4:B4"/>
    <mergeCell ref="A5:B5"/>
    <mergeCell ref="A6:B6"/>
    <mergeCell ref="A8:B8"/>
    <mergeCell ref="A9:B9"/>
    <mergeCell ref="A3:B3"/>
    <mergeCell ref="A10:B10"/>
    <mergeCell ref="A11:B11"/>
    <mergeCell ref="A15:B15"/>
    <mergeCell ref="A16:B16"/>
    <mergeCell ref="A17:B17"/>
    <mergeCell ref="A18:B18"/>
    <mergeCell ref="A20:B20"/>
    <mergeCell ref="A42:B42"/>
    <mergeCell ref="AF44:AG44"/>
    <mergeCell ref="AF45:AG45"/>
    <mergeCell ref="A71:AC71"/>
    <mergeCell ref="A84:AD84"/>
    <mergeCell ref="A50:B50"/>
    <mergeCell ref="A52:B52"/>
    <mergeCell ref="A53:B53"/>
    <mergeCell ref="A54:B54"/>
    <mergeCell ref="A51:B51"/>
    <mergeCell ref="A68:B68"/>
    <mergeCell ref="A66:B66"/>
    <mergeCell ref="A67:B67"/>
    <mergeCell ref="A55:B55"/>
    <mergeCell ref="A56:B56"/>
    <mergeCell ref="A57:B57"/>
    <mergeCell ref="A60:B60"/>
    <mergeCell ref="A44:B44"/>
    <mergeCell ref="A45:B45"/>
    <mergeCell ref="A47:B47"/>
    <mergeCell ref="A49:B49"/>
    <mergeCell ref="A73:B73"/>
    <mergeCell ref="A64:B64"/>
    <mergeCell ref="A63:B63"/>
    <mergeCell ref="A65:B65"/>
    <mergeCell ref="A58:B58"/>
    <mergeCell ref="A59:B59"/>
    <mergeCell ref="A61:B61"/>
    <mergeCell ref="A62:B62"/>
    <mergeCell ref="A12:B12"/>
    <mergeCell ref="A48:B48"/>
    <mergeCell ref="A46:B46"/>
    <mergeCell ref="A21:B21"/>
    <mergeCell ref="A22:B22"/>
    <mergeCell ref="A23:B23"/>
    <mergeCell ref="A24:B24"/>
    <mergeCell ref="A25:B25"/>
    <mergeCell ref="A26:B26"/>
    <mergeCell ref="A27:B27"/>
    <mergeCell ref="A28:B28"/>
    <mergeCell ref="A29:B29"/>
    <mergeCell ref="A30:B30"/>
    <mergeCell ref="A31:B31"/>
    <mergeCell ref="A32:B32"/>
    <mergeCell ref="A43:B43"/>
  </mergeCells>
  <phoneticPr fontId="55" type="noConversion"/>
  <conditionalFormatting sqref="C19:AA19">
    <cfRule type="expression" dxfId="55" priority="1">
      <formula>OR(C12="Ja",)</formula>
    </cfRule>
  </conditionalFormatting>
  <dataValidations count="13">
    <dataValidation type="decimal" allowBlank="1" showInputMessage="1" showErrorMessage="1" sqref="E18:F18 C19:AA19" xr:uid="{00000000-0002-0000-0700-000002000000}">
      <formula1>0</formula1>
      <formula2>42/37</formula2>
    </dataValidation>
    <dataValidation type="decimal" allowBlank="1" showInputMessage="1" showErrorMessage="1" sqref="C18:D18" xr:uid="{00000000-0002-0000-0700-000003000000}">
      <formula1>0.5</formula1>
      <formula2>1</formula2>
    </dataValidation>
    <dataValidation type="decimal" allowBlank="1" showInputMessage="1" showErrorMessage="1" sqref="AB21:AC22 AB24:AC25 AB43:AC43 AB57:AC59 AB61:AC66 AB33:AC41 E20:AC20" xr:uid="{00000000-0002-0000-0700-000004000000}">
      <formula1>0</formula1>
      <formula2>900</formula2>
    </dataValidation>
    <dataValidation type="decimal" allowBlank="1" showInputMessage="1" showErrorMessage="1" sqref="G81 C74:F81 G74:G79 H74:AC81 C83:AC83" xr:uid="{00000000-0002-0000-0700-000005000000}">
      <formula1>-500000</formula1>
      <formula2>-1</formula2>
    </dataValidation>
    <dataValidation allowBlank="1" showInputMessage="1" showErrorMessage="1" promptTitle="OBS" prompt="Timelønnen tastes i 12 kr." sqref="AB4:AC4" xr:uid="{00000000-0002-0000-0700-000007000000}"/>
    <dataValidation type="list" allowBlank="1" showInputMessage="1" showErrorMessage="1" sqref="AB15:AC15" xr:uid="{00000000-0002-0000-0700-000008000000}">
      <formula1>$AE$16:$AE$17</formula1>
    </dataValidation>
    <dataValidation type="list" allowBlank="1" showInputMessage="1" showErrorMessage="1" sqref="D4" xr:uid="{00000000-0002-0000-0700-000009000000}">
      <formula1>$AD$5:$AD$6</formula1>
    </dataValidation>
    <dataValidation type="decimal" allowBlank="1" showInputMessage="1" showErrorMessage="1" sqref="G80" xr:uid="{00000000-0002-0000-0700-00000C000000}">
      <formula1>-600000</formula1>
      <formula2>-1</formula2>
    </dataValidation>
    <dataValidation allowBlank="1" showInputMessage="1" showErrorMessage="1" promptTitle="OBS" prompt="Er den ansatte under flexrefusion, skrives her refusionssatsen. Dette bruges til korrekt udregning af feriepengeforpligtigelse." sqref="C86:AC86 C94:AC94 C96:AC96" xr:uid="{00000000-0002-0000-0700-00000A000000}"/>
    <dataValidation type="list" allowBlank="1" showInputMessage="1" showErrorMessage="1" sqref="C11:AA11 AB11:AC12" xr:uid="{00000000-0002-0000-0700-00000B000000}">
      <formula1>$AE$10:$AE$11</formula1>
    </dataValidation>
    <dataValidation type="decimal" allowBlank="1" showInputMessage="1" showErrorMessage="1" sqref="C6:AC6" xr:uid="{1C8B2674-F48A-8D47-B01E-5873123ED466}">
      <formula1>0</formula1>
      <formula2>3</formula2>
    </dataValidation>
    <dataValidation type="decimal" allowBlank="1" showInputMessage="1" showErrorMessage="1" sqref="C7:AC7" xr:uid="{C03E07B0-D004-EC4E-A9C8-99335E7C0467}">
      <formula1>0</formula1>
      <formula2>4</formula2>
    </dataValidation>
    <dataValidation type="decimal" allowBlank="1" showInputMessage="1" showErrorMessage="1" sqref="C8:AC8" xr:uid="{DFCB6B78-B60A-214C-BF39-03D445F5D63E}">
      <formula1>0</formula1>
      <formula2>5</formula2>
    </dataValidation>
  </dataValidations>
  <pageMargins left="0.35" right="0.35" top="0.59" bottom="0.59" header="0.31" footer="0.31"/>
  <pageSetup paperSize="9" scale="17" fitToHeight="0" orientation="portrait" r:id="rId1"/>
  <headerFooter alignWithMargins="0">
    <oddHeader>&amp;C&amp;"Helvetica,Fed"&amp;12Lærerløn</oddHeader>
    <oddFooter>&amp;L&amp;G&amp;R
&amp;D
&amp;A</oddFooter>
  </headerFooter>
  <rowBreaks count="1" manualBreakCount="1">
    <brk id="72" max="26" man="1"/>
  </rowBreaks>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D000000}">
          <x14:formula1>
            <xm:f>Grundlon!$A$63:$A$70</xm:f>
          </x14:formula1>
          <xm:sqref>E4:AA4</xm:sqref>
        </x14:dataValidation>
        <x14:dataValidation type="list" allowBlank="1" showInputMessage="1" showErrorMessage="1" xr:uid="{00000000-0002-0000-0800-00000E000000}">
          <x14:formula1>
            <xm:f>Grundlon!$A$90:$A$116</xm:f>
          </x14:formula1>
          <xm:sqref>E15:AA15</xm:sqref>
        </x14:dataValidation>
        <x14:dataValidation type="list" allowBlank="1" showInputMessage="1" showErrorMessage="1" xr:uid="{00000000-0002-0000-0800-00000F000000}">
          <x14:formula1>
            <xm:f>Grundlon!$C$90:$C$104</xm:f>
          </x14:formula1>
          <xm:sqref>D15</xm:sqref>
        </x14:dataValidation>
        <x14:dataValidation type="list" allowBlank="1" showInputMessage="1" showErrorMessage="1" xr:uid="{00000000-0002-0000-0800-000010000000}">
          <x14:formula1>
            <xm:f>Grundlon!$B$90:$B$91</xm:f>
          </x14:formula1>
          <xm:sqref>C38:D38 E38:AA40 C12:AA14</xm:sqref>
        </x14:dataValidation>
        <x14:dataValidation type="list" allowBlank="1" showInputMessage="1" showErrorMessage="1" xr:uid="{00000000-0002-0000-0800-000011000000}">
          <x14:formula1>
            <xm:f>Grundlon!$C$90:$C$105</xm:f>
          </x14:formula1>
          <xm:sqref>C15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tabColor rgb="FFFF0000"/>
    <pageSetUpPr fitToPage="1"/>
  </sheetPr>
  <dimension ref="A2:DN117"/>
  <sheetViews>
    <sheetView zoomScale="174" zoomScaleNormal="100" zoomScaleSheetLayoutView="167" workbookViewId="0">
      <pane xSplit="2" ySplit="6" topLeftCell="C7" activePane="bottomRight" state="frozen"/>
      <selection activeCell="A40" sqref="A40:B40"/>
      <selection pane="topRight" activeCell="A40" sqref="A40:B40"/>
      <selection pane="bottomLeft" activeCell="A40" sqref="A40:B40"/>
      <selection pane="bottomRight" activeCell="C33" sqref="C33"/>
    </sheetView>
  </sheetViews>
  <sheetFormatPr baseColWidth="10" defaultColWidth="20.83203125" defaultRowHeight="13"/>
  <cols>
    <col min="1" max="1" width="3.6640625" style="101" customWidth="1"/>
    <col min="2" max="2" width="76.1640625" style="98" customWidth="1"/>
    <col min="3" max="3" width="16" style="103" customWidth="1"/>
    <col min="4" max="4" width="12.1640625" style="103" customWidth="1"/>
    <col min="5" max="85" width="11.5" style="103" customWidth="1"/>
    <col min="86" max="86" width="28.1640625" style="98" bestFit="1" customWidth="1"/>
    <col min="87" max="87" width="15.5" style="98" customWidth="1"/>
    <col min="88" max="90" width="20.83203125" style="98"/>
    <col min="91" max="91" width="18.33203125" style="98" customWidth="1"/>
    <col min="92" max="92" width="10.83203125" style="98" customWidth="1"/>
    <col min="93" max="93" width="13.83203125" style="98" customWidth="1"/>
    <col min="94" max="94" width="18.33203125" style="98" customWidth="1"/>
    <col min="95" max="95" width="10.83203125" style="98" customWidth="1"/>
    <col min="96" max="96" width="13" style="98" customWidth="1"/>
    <col min="97" max="97" width="18.1640625" style="98" customWidth="1"/>
    <col min="98" max="98" width="10.83203125" style="98" customWidth="1"/>
    <col min="99" max="99" width="13.83203125" style="98" customWidth="1"/>
    <col min="100" max="100" width="18.33203125" style="98" customWidth="1"/>
    <col min="101" max="101" width="10.6640625" style="98" customWidth="1"/>
    <col min="102" max="102" width="13.83203125" style="98" customWidth="1"/>
    <col min="103" max="103" width="18.33203125" style="98" customWidth="1"/>
    <col min="104" max="104" width="11" style="98" customWidth="1"/>
    <col min="105" max="105" width="14" style="98" customWidth="1"/>
    <col min="106" max="106" width="18.33203125" style="98" customWidth="1"/>
    <col min="107" max="107" width="10.83203125" style="98" customWidth="1"/>
    <col min="108" max="108" width="13.83203125" style="98" customWidth="1"/>
    <col min="109" max="330" width="20.83203125" style="98"/>
    <col min="331" max="331" width="2.6640625" style="98" customWidth="1"/>
    <col min="332" max="332" width="30.6640625" style="98" customWidth="1"/>
    <col min="333" max="342" width="10" style="98" customWidth="1"/>
    <col min="343" max="343" width="28.1640625" style="98" bestFit="1" customWidth="1"/>
    <col min="344" max="344" width="7.5" style="98" customWidth="1"/>
    <col min="345" max="586" width="20.83203125" style="98"/>
    <col min="587" max="587" width="2.6640625" style="98" customWidth="1"/>
    <col min="588" max="588" width="30.6640625" style="98" customWidth="1"/>
    <col min="589" max="598" width="10" style="98" customWidth="1"/>
    <col min="599" max="599" width="28.1640625" style="98" bestFit="1" customWidth="1"/>
    <col min="600" max="600" width="7.5" style="98" customWidth="1"/>
    <col min="601" max="842" width="20.83203125" style="98"/>
    <col min="843" max="843" width="2.6640625" style="98" customWidth="1"/>
    <col min="844" max="844" width="30.6640625" style="98" customWidth="1"/>
    <col min="845" max="854" width="10" style="98" customWidth="1"/>
    <col min="855" max="855" width="28.1640625" style="98" bestFit="1" customWidth="1"/>
    <col min="856" max="856" width="7.5" style="98" customWidth="1"/>
    <col min="857" max="1098" width="20.83203125" style="98"/>
    <col min="1099" max="1099" width="2.6640625" style="98" customWidth="1"/>
    <col min="1100" max="1100" width="30.6640625" style="98" customWidth="1"/>
    <col min="1101" max="1110" width="10" style="98" customWidth="1"/>
    <col min="1111" max="1111" width="28.1640625" style="98" bestFit="1" customWidth="1"/>
    <col min="1112" max="1112" width="7.5" style="98" customWidth="1"/>
    <col min="1113" max="1354" width="20.83203125" style="98"/>
    <col min="1355" max="1355" width="2.6640625" style="98" customWidth="1"/>
    <col min="1356" max="1356" width="30.6640625" style="98" customWidth="1"/>
    <col min="1357" max="1366" width="10" style="98" customWidth="1"/>
    <col min="1367" max="1367" width="28.1640625" style="98" bestFit="1" customWidth="1"/>
    <col min="1368" max="1368" width="7.5" style="98" customWidth="1"/>
    <col min="1369" max="1610" width="20.83203125" style="98"/>
    <col min="1611" max="1611" width="2.6640625" style="98" customWidth="1"/>
    <col min="1612" max="1612" width="30.6640625" style="98" customWidth="1"/>
    <col min="1613" max="1622" width="10" style="98" customWidth="1"/>
    <col min="1623" max="1623" width="28.1640625" style="98" bestFit="1" customWidth="1"/>
    <col min="1624" max="1624" width="7.5" style="98" customWidth="1"/>
    <col min="1625" max="1866" width="20.83203125" style="98"/>
    <col min="1867" max="1867" width="2.6640625" style="98" customWidth="1"/>
    <col min="1868" max="1868" width="30.6640625" style="98" customWidth="1"/>
    <col min="1869" max="1878" width="10" style="98" customWidth="1"/>
    <col min="1879" max="1879" width="28.1640625" style="98" bestFit="1" customWidth="1"/>
    <col min="1880" max="1880" width="7.5" style="98" customWidth="1"/>
    <col min="1881" max="2122" width="20.83203125" style="98"/>
    <col min="2123" max="2123" width="2.6640625" style="98" customWidth="1"/>
    <col min="2124" max="2124" width="30.6640625" style="98" customWidth="1"/>
    <col min="2125" max="2134" width="10" style="98" customWidth="1"/>
    <col min="2135" max="2135" width="28.1640625" style="98" bestFit="1" customWidth="1"/>
    <col min="2136" max="2136" width="7.5" style="98" customWidth="1"/>
    <col min="2137" max="2378" width="20.83203125" style="98"/>
    <col min="2379" max="2379" width="2.6640625" style="98" customWidth="1"/>
    <col min="2380" max="2380" width="30.6640625" style="98" customWidth="1"/>
    <col min="2381" max="2390" width="10" style="98" customWidth="1"/>
    <col min="2391" max="2391" width="28.1640625" style="98" bestFit="1" customWidth="1"/>
    <col min="2392" max="2392" width="7.5" style="98" customWidth="1"/>
    <col min="2393" max="2634" width="20.83203125" style="98"/>
    <col min="2635" max="2635" width="2.6640625" style="98" customWidth="1"/>
    <col min="2636" max="2636" width="30.6640625" style="98" customWidth="1"/>
    <col min="2637" max="2646" width="10" style="98" customWidth="1"/>
    <col min="2647" max="2647" width="28.1640625" style="98" bestFit="1" customWidth="1"/>
    <col min="2648" max="2648" width="7.5" style="98" customWidth="1"/>
    <col min="2649" max="2890" width="20.83203125" style="98"/>
    <col min="2891" max="2891" width="2.6640625" style="98" customWidth="1"/>
    <col min="2892" max="2892" width="30.6640625" style="98" customWidth="1"/>
    <col min="2893" max="2902" width="10" style="98" customWidth="1"/>
    <col min="2903" max="2903" width="28.1640625" style="98" bestFit="1" customWidth="1"/>
    <col min="2904" max="2904" width="7.5" style="98" customWidth="1"/>
    <col min="2905" max="3146" width="20.83203125" style="98"/>
    <col min="3147" max="3147" width="2.6640625" style="98" customWidth="1"/>
    <col min="3148" max="3148" width="30.6640625" style="98" customWidth="1"/>
    <col min="3149" max="3158" width="10" style="98" customWidth="1"/>
    <col min="3159" max="3159" width="28.1640625" style="98" bestFit="1" customWidth="1"/>
    <col min="3160" max="3160" width="7.5" style="98" customWidth="1"/>
    <col min="3161" max="3402" width="20.83203125" style="98"/>
    <col min="3403" max="3403" width="2.6640625" style="98" customWidth="1"/>
    <col min="3404" max="3404" width="30.6640625" style="98" customWidth="1"/>
    <col min="3405" max="3414" width="10" style="98" customWidth="1"/>
    <col min="3415" max="3415" width="28.1640625" style="98" bestFit="1" customWidth="1"/>
    <col min="3416" max="3416" width="7.5" style="98" customWidth="1"/>
    <col min="3417" max="3658" width="20.83203125" style="98"/>
    <col min="3659" max="3659" width="2.6640625" style="98" customWidth="1"/>
    <col min="3660" max="3660" width="30.6640625" style="98" customWidth="1"/>
    <col min="3661" max="3670" width="10" style="98" customWidth="1"/>
    <col min="3671" max="3671" width="28.1640625" style="98" bestFit="1" customWidth="1"/>
    <col min="3672" max="3672" width="7.5" style="98" customWidth="1"/>
    <col min="3673" max="3914" width="20.83203125" style="98"/>
    <col min="3915" max="3915" width="2.6640625" style="98" customWidth="1"/>
    <col min="3916" max="3916" width="30.6640625" style="98" customWidth="1"/>
    <col min="3917" max="3926" width="10" style="98" customWidth="1"/>
    <col min="3927" max="3927" width="28.1640625" style="98" bestFit="1" customWidth="1"/>
    <col min="3928" max="3928" width="7.5" style="98" customWidth="1"/>
    <col min="3929" max="4170" width="20.83203125" style="98"/>
    <col min="4171" max="4171" width="2.6640625" style="98" customWidth="1"/>
    <col min="4172" max="4172" width="30.6640625" style="98" customWidth="1"/>
    <col min="4173" max="4182" width="10" style="98" customWidth="1"/>
    <col min="4183" max="4183" width="28.1640625" style="98" bestFit="1" customWidth="1"/>
    <col min="4184" max="4184" width="7.5" style="98" customWidth="1"/>
    <col min="4185" max="4426" width="20.83203125" style="98"/>
    <col min="4427" max="4427" width="2.6640625" style="98" customWidth="1"/>
    <col min="4428" max="4428" width="30.6640625" style="98" customWidth="1"/>
    <col min="4429" max="4438" width="10" style="98" customWidth="1"/>
    <col min="4439" max="4439" width="28.1640625" style="98" bestFit="1" customWidth="1"/>
    <col min="4440" max="4440" width="7.5" style="98" customWidth="1"/>
    <col min="4441" max="4682" width="20.83203125" style="98"/>
    <col min="4683" max="4683" width="2.6640625" style="98" customWidth="1"/>
    <col min="4684" max="4684" width="30.6640625" style="98" customWidth="1"/>
    <col min="4685" max="4694" width="10" style="98" customWidth="1"/>
    <col min="4695" max="4695" width="28.1640625" style="98" bestFit="1" customWidth="1"/>
    <col min="4696" max="4696" width="7.5" style="98" customWidth="1"/>
    <col min="4697" max="4938" width="20.83203125" style="98"/>
    <col min="4939" max="4939" width="2.6640625" style="98" customWidth="1"/>
    <col min="4940" max="4940" width="30.6640625" style="98" customWidth="1"/>
    <col min="4941" max="4950" width="10" style="98" customWidth="1"/>
    <col min="4951" max="4951" width="28.1640625" style="98" bestFit="1" customWidth="1"/>
    <col min="4952" max="4952" width="7.5" style="98" customWidth="1"/>
    <col min="4953" max="5194" width="20.83203125" style="98"/>
    <col min="5195" max="5195" width="2.6640625" style="98" customWidth="1"/>
    <col min="5196" max="5196" width="30.6640625" style="98" customWidth="1"/>
    <col min="5197" max="5206" width="10" style="98" customWidth="1"/>
    <col min="5207" max="5207" width="28.1640625" style="98" bestFit="1" customWidth="1"/>
    <col min="5208" max="5208" width="7.5" style="98" customWidth="1"/>
    <col min="5209" max="5450" width="20.83203125" style="98"/>
    <col min="5451" max="5451" width="2.6640625" style="98" customWidth="1"/>
    <col min="5452" max="5452" width="30.6640625" style="98" customWidth="1"/>
    <col min="5453" max="5462" width="10" style="98" customWidth="1"/>
    <col min="5463" max="5463" width="28.1640625" style="98" bestFit="1" customWidth="1"/>
    <col min="5464" max="5464" width="7.5" style="98" customWidth="1"/>
    <col min="5465" max="5706" width="20.83203125" style="98"/>
    <col min="5707" max="5707" width="2.6640625" style="98" customWidth="1"/>
    <col min="5708" max="5708" width="30.6640625" style="98" customWidth="1"/>
    <col min="5709" max="5718" width="10" style="98" customWidth="1"/>
    <col min="5719" max="5719" width="28.1640625" style="98" bestFit="1" customWidth="1"/>
    <col min="5720" max="5720" width="7.5" style="98" customWidth="1"/>
    <col min="5721" max="5962" width="20.83203125" style="98"/>
    <col min="5963" max="5963" width="2.6640625" style="98" customWidth="1"/>
    <col min="5964" max="5964" width="30.6640625" style="98" customWidth="1"/>
    <col min="5965" max="5974" width="10" style="98" customWidth="1"/>
    <col min="5975" max="5975" width="28.1640625" style="98" bestFit="1" customWidth="1"/>
    <col min="5976" max="5976" width="7.5" style="98" customWidth="1"/>
    <col min="5977" max="6218" width="20.83203125" style="98"/>
    <col min="6219" max="6219" width="2.6640625" style="98" customWidth="1"/>
    <col min="6220" max="6220" width="30.6640625" style="98" customWidth="1"/>
    <col min="6221" max="6230" width="10" style="98" customWidth="1"/>
    <col min="6231" max="6231" width="28.1640625" style="98" bestFit="1" customWidth="1"/>
    <col min="6232" max="6232" width="7.5" style="98" customWidth="1"/>
    <col min="6233" max="6474" width="20.83203125" style="98"/>
    <col min="6475" max="6475" width="2.6640625" style="98" customWidth="1"/>
    <col min="6476" max="6476" width="30.6640625" style="98" customWidth="1"/>
    <col min="6477" max="6486" width="10" style="98" customWidth="1"/>
    <col min="6487" max="6487" width="28.1640625" style="98" bestFit="1" customWidth="1"/>
    <col min="6488" max="6488" width="7.5" style="98" customWidth="1"/>
    <col min="6489" max="6730" width="20.83203125" style="98"/>
    <col min="6731" max="6731" width="2.6640625" style="98" customWidth="1"/>
    <col min="6732" max="6732" width="30.6640625" style="98" customWidth="1"/>
    <col min="6733" max="6742" width="10" style="98" customWidth="1"/>
    <col min="6743" max="6743" width="28.1640625" style="98" bestFit="1" customWidth="1"/>
    <col min="6744" max="6744" width="7.5" style="98" customWidth="1"/>
    <col min="6745" max="6986" width="20.83203125" style="98"/>
    <col min="6987" max="6987" width="2.6640625" style="98" customWidth="1"/>
    <col min="6988" max="6988" width="30.6640625" style="98" customWidth="1"/>
    <col min="6989" max="6998" width="10" style="98" customWidth="1"/>
    <col min="6999" max="6999" width="28.1640625" style="98" bestFit="1" customWidth="1"/>
    <col min="7000" max="7000" width="7.5" style="98" customWidth="1"/>
    <col min="7001" max="7242" width="20.83203125" style="98"/>
    <col min="7243" max="7243" width="2.6640625" style="98" customWidth="1"/>
    <col min="7244" max="7244" width="30.6640625" style="98" customWidth="1"/>
    <col min="7245" max="7254" width="10" style="98" customWidth="1"/>
    <col min="7255" max="7255" width="28.1640625" style="98" bestFit="1" customWidth="1"/>
    <col min="7256" max="7256" width="7.5" style="98" customWidth="1"/>
    <col min="7257" max="7498" width="20.83203125" style="98"/>
    <col min="7499" max="7499" width="2.6640625" style="98" customWidth="1"/>
    <col min="7500" max="7500" width="30.6640625" style="98" customWidth="1"/>
    <col min="7501" max="7510" width="10" style="98" customWidth="1"/>
    <col min="7511" max="7511" width="28.1640625" style="98" bestFit="1" customWidth="1"/>
    <col min="7512" max="7512" width="7.5" style="98" customWidth="1"/>
    <col min="7513" max="7754" width="20.83203125" style="98"/>
    <col min="7755" max="7755" width="2.6640625" style="98" customWidth="1"/>
    <col min="7756" max="7756" width="30.6640625" style="98" customWidth="1"/>
    <col min="7757" max="7766" width="10" style="98" customWidth="1"/>
    <col min="7767" max="7767" width="28.1640625" style="98" bestFit="1" customWidth="1"/>
    <col min="7768" max="7768" width="7.5" style="98" customWidth="1"/>
    <col min="7769" max="8010" width="20.83203125" style="98"/>
    <col min="8011" max="8011" width="2.6640625" style="98" customWidth="1"/>
    <col min="8012" max="8012" width="30.6640625" style="98" customWidth="1"/>
    <col min="8013" max="8022" width="10" style="98" customWidth="1"/>
    <col min="8023" max="8023" width="28.1640625" style="98" bestFit="1" customWidth="1"/>
    <col min="8024" max="8024" width="7.5" style="98" customWidth="1"/>
    <col min="8025" max="8266" width="20.83203125" style="98"/>
    <col min="8267" max="8267" width="2.6640625" style="98" customWidth="1"/>
    <col min="8268" max="8268" width="30.6640625" style="98" customWidth="1"/>
    <col min="8269" max="8278" width="10" style="98" customWidth="1"/>
    <col min="8279" max="8279" width="28.1640625" style="98" bestFit="1" customWidth="1"/>
    <col min="8280" max="8280" width="7.5" style="98" customWidth="1"/>
    <col min="8281" max="8522" width="20.83203125" style="98"/>
    <col min="8523" max="8523" width="2.6640625" style="98" customWidth="1"/>
    <col min="8524" max="8524" width="30.6640625" style="98" customWidth="1"/>
    <col min="8525" max="8534" width="10" style="98" customWidth="1"/>
    <col min="8535" max="8535" width="28.1640625" style="98" bestFit="1" customWidth="1"/>
    <col min="8536" max="8536" width="7.5" style="98" customWidth="1"/>
    <col min="8537" max="8778" width="20.83203125" style="98"/>
    <col min="8779" max="8779" width="2.6640625" style="98" customWidth="1"/>
    <col min="8780" max="8780" width="30.6640625" style="98" customWidth="1"/>
    <col min="8781" max="8790" width="10" style="98" customWidth="1"/>
    <col min="8791" max="8791" width="28.1640625" style="98" bestFit="1" customWidth="1"/>
    <col min="8792" max="8792" width="7.5" style="98" customWidth="1"/>
    <col min="8793" max="9034" width="20.83203125" style="98"/>
    <col min="9035" max="9035" width="2.6640625" style="98" customWidth="1"/>
    <col min="9036" max="9036" width="30.6640625" style="98" customWidth="1"/>
    <col min="9037" max="9046" width="10" style="98" customWidth="1"/>
    <col min="9047" max="9047" width="28.1640625" style="98" bestFit="1" customWidth="1"/>
    <col min="9048" max="9048" width="7.5" style="98" customWidth="1"/>
    <col min="9049" max="9290" width="20.83203125" style="98"/>
    <col min="9291" max="9291" width="2.6640625" style="98" customWidth="1"/>
    <col min="9292" max="9292" width="30.6640625" style="98" customWidth="1"/>
    <col min="9293" max="9302" width="10" style="98" customWidth="1"/>
    <col min="9303" max="9303" width="28.1640625" style="98" bestFit="1" customWidth="1"/>
    <col min="9304" max="9304" width="7.5" style="98" customWidth="1"/>
    <col min="9305" max="9546" width="20.83203125" style="98"/>
    <col min="9547" max="9547" width="2.6640625" style="98" customWidth="1"/>
    <col min="9548" max="9548" width="30.6640625" style="98" customWidth="1"/>
    <col min="9549" max="9558" width="10" style="98" customWidth="1"/>
    <col min="9559" max="9559" width="28.1640625" style="98" bestFit="1" customWidth="1"/>
    <col min="9560" max="9560" width="7.5" style="98" customWidth="1"/>
    <col min="9561" max="9802" width="20.83203125" style="98"/>
    <col min="9803" max="9803" width="2.6640625" style="98" customWidth="1"/>
    <col min="9804" max="9804" width="30.6640625" style="98" customWidth="1"/>
    <col min="9805" max="9814" width="10" style="98" customWidth="1"/>
    <col min="9815" max="9815" width="28.1640625" style="98" bestFit="1" customWidth="1"/>
    <col min="9816" max="9816" width="7.5" style="98" customWidth="1"/>
    <col min="9817" max="10058" width="20.83203125" style="98"/>
    <col min="10059" max="10059" width="2.6640625" style="98" customWidth="1"/>
    <col min="10060" max="10060" width="30.6640625" style="98" customWidth="1"/>
    <col min="10061" max="10070" width="10" style="98" customWidth="1"/>
    <col min="10071" max="10071" width="28.1640625" style="98" bestFit="1" customWidth="1"/>
    <col min="10072" max="10072" width="7.5" style="98" customWidth="1"/>
    <col min="10073" max="10314" width="20.83203125" style="98"/>
    <col min="10315" max="10315" width="2.6640625" style="98" customWidth="1"/>
    <col min="10316" max="10316" width="30.6640625" style="98" customWidth="1"/>
    <col min="10317" max="10326" width="10" style="98" customWidth="1"/>
    <col min="10327" max="10327" width="28.1640625" style="98" bestFit="1" customWidth="1"/>
    <col min="10328" max="10328" width="7.5" style="98" customWidth="1"/>
    <col min="10329" max="10570" width="20.83203125" style="98"/>
    <col min="10571" max="10571" width="2.6640625" style="98" customWidth="1"/>
    <col min="10572" max="10572" width="30.6640625" style="98" customWidth="1"/>
    <col min="10573" max="10582" width="10" style="98" customWidth="1"/>
    <col min="10583" max="10583" width="28.1640625" style="98" bestFit="1" customWidth="1"/>
    <col min="10584" max="10584" width="7.5" style="98" customWidth="1"/>
    <col min="10585" max="10826" width="20.83203125" style="98"/>
    <col min="10827" max="10827" width="2.6640625" style="98" customWidth="1"/>
    <col min="10828" max="10828" width="30.6640625" style="98" customWidth="1"/>
    <col min="10829" max="10838" width="10" style="98" customWidth="1"/>
    <col min="10839" max="10839" width="28.1640625" style="98" bestFit="1" customWidth="1"/>
    <col min="10840" max="10840" width="7.5" style="98" customWidth="1"/>
    <col min="10841" max="11082" width="20.83203125" style="98"/>
    <col min="11083" max="11083" width="2.6640625" style="98" customWidth="1"/>
    <col min="11084" max="11084" width="30.6640625" style="98" customWidth="1"/>
    <col min="11085" max="11094" width="10" style="98" customWidth="1"/>
    <col min="11095" max="11095" width="28.1640625" style="98" bestFit="1" customWidth="1"/>
    <col min="11096" max="11096" width="7.5" style="98" customWidth="1"/>
    <col min="11097" max="11338" width="20.83203125" style="98"/>
    <col min="11339" max="11339" width="2.6640625" style="98" customWidth="1"/>
    <col min="11340" max="11340" width="30.6640625" style="98" customWidth="1"/>
    <col min="11341" max="11350" width="10" style="98" customWidth="1"/>
    <col min="11351" max="11351" width="28.1640625" style="98" bestFit="1" customWidth="1"/>
    <col min="11352" max="11352" width="7.5" style="98" customWidth="1"/>
    <col min="11353" max="11594" width="20.83203125" style="98"/>
    <col min="11595" max="11595" width="2.6640625" style="98" customWidth="1"/>
    <col min="11596" max="11596" width="30.6640625" style="98" customWidth="1"/>
    <col min="11597" max="11606" width="10" style="98" customWidth="1"/>
    <col min="11607" max="11607" width="28.1640625" style="98" bestFit="1" customWidth="1"/>
    <col min="11608" max="11608" width="7.5" style="98" customWidth="1"/>
    <col min="11609" max="11850" width="20.83203125" style="98"/>
    <col min="11851" max="11851" width="2.6640625" style="98" customWidth="1"/>
    <col min="11852" max="11852" width="30.6640625" style="98" customWidth="1"/>
    <col min="11853" max="11862" width="10" style="98" customWidth="1"/>
    <col min="11863" max="11863" width="28.1640625" style="98" bestFit="1" customWidth="1"/>
    <col min="11864" max="11864" width="7.5" style="98" customWidth="1"/>
    <col min="11865" max="12106" width="20.83203125" style="98"/>
    <col min="12107" max="12107" width="2.6640625" style="98" customWidth="1"/>
    <col min="12108" max="12108" width="30.6640625" style="98" customWidth="1"/>
    <col min="12109" max="12118" width="10" style="98" customWidth="1"/>
    <col min="12119" max="12119" width="28.1640625" style="98" bestFit="1" customWidth="1"/>
    <col min="12120" max="12120" width="7.5" style="98" customWidth="1"/>
    <col min="12121" max="12362" width="20.83203125" style="98"/>
    <col min="12363" max="12363" width="2.6640625" style="98" customWidth="1"/>
    <col min="12364" max="12364" width="30.6640625" style="98" customWidth="1"/>
    <col min="12365" max="12374" width="10" style="98" customWidth="1"/>
    <col min="12375" max="12375" width="28.1640625" style="98" bestFit="1" customWidth="1"/>
    <col min="12376" max="12376" width="7.5" style="98" customWidth="1"/>
    <col min="12377" max="12618" width="20.83203125" style="98"/>
    <col min="12619" max="12619" width="2.6640625" style="98" customWidth="1"/>
    <col min="12620" max="12620" width="30.6640625" style="98" customWidth="1"/>
    <col min="12621" max="12630" width="10" style="98" customWidth="1"/>
    <col min="12631" max="12631" width="28.1640625" style="98" bestFit="1" customWidth="1"/>
    <col min="12632" max="12632" width="7.5" style="98" customWidth="1"/>
    <col min="12633" max="12874" width="20.83203125" style="98"/>
    <col min="12875" max="12875" width="2.6640625" style="98" customWidth="1"/>
    <col min="12876" max="12876" width="30.6640625" style="98" customWidth="1"/>
    <col min="12877" max="12886" width="10" style="98" customWidth="1"/>
    <col min="12887" max="12887" width="28.1640625" style="98" bestFit="1" customWidth="1"/>
    <col min="12888" max="12888" width="7.5" style="98" customWidth="1"/>
    <col min="12889" max="13130" width="20.83203125" style="98"/>
    <col min="13131" max="13131" width="2.6640625" style="98" customWidth="1"/>
    <col min="13132" max="13132" width="30.6640625" style="98" customWidth="1"/>
    <col min="13133" max="13142" width="10" style="98" customWidth="1"/>
    <col min="13143" max="13143" width="28.1640625" style="98" bestFit="1" customWidth="1"/>
    <col min="13144" max="13144" width="7.5" style="98" customWidth="1"/>
    <col min="13145" max="13386" width="20.83203125" style="98"/>
    <col min="13387" max="13387" width="2.6640625" style="98" customWidth="1"/>
    <col min="13388" max="13388" width="30.6640625" style="98" customWidth="1"/>
    <col min="13389" max="13398" width="10" style="98" customWidth="1"/>
    <col min="13399" max="13399" width="28.1640625" style="98" bestFit="1" customWidth="1"/>
    <col min="13400" max="13400" width="7.5" style="98" customWidth="1"/>
    <col min="13401" max="13642" width="20.83203125" style="98"/>
    <col min="13643" max="13643" width="2.6640625" style="98" customWidth="1"/>
    <col min="13644" max="13644" width="30.6640625" style="98" customWidth="1"/>
    <col min="13645" max="13654" width="10" style="98" customWidth="1"/>
    <col min="13655" max="13655" width="28.1640625" style="98" bestFit="1" customWidth="1"/>
    <col min="13656" max="13656" width="7.5" style="98" customWidth="1"/>
    <col min="13657" max="13898" width="20.83203125" style="98"/>
    <col min="13899" max="13899" width="2.6640625" style="98" customWidth="1"/>
    <col min="13900" max="13900" width="30.6640625" style="98" customWidth="1"/>
    <col min="13901" max="13910" width="10" style="98" customWidth="1"/>
    <col min="13911" max="13911" width="28.1640625" style="98" bestFit="1" customWidth="1"/>
    <col min="13912" max="13912" width="7.5" style="98" customWidth="1"/>
    <col min="13913" max="14154" width="20.83203125" style="98"/>
    <col min="14155" max="14155" width="2.6640625" style="98" customWidth="1"/>
    <col min="14156" max="14156" width="30.6640625" style="98" customWidth="1"/>
    <col min="14157" max="14166" width="10" style="98" customWidth="1"/>
    <col min="14167" max="14167" width="28.1640625" style="98" bestFit="1" customWidth="1"/>
    <col min="14168" max="14168" width="7.5" style="98" customWidth="1"/>
    <col min="14169" max="14410" width="20.83203125" style="98"/>
    <col min="14411" max="14411" width="2.6640625" style="98" customWidth="1"/>
    <col min="14412" max="14412" width="30.6640625" style="98" customWidth="1"/>
    <col min="14413" max="14422" width="10" style="98" customWidth="1"/>
    <col min="14423" max="14423" width="28.1640625" style="98" bestFit="1" customWidth="1"/>
    <col min="14424" max="14424" width="7.5" style="98" customWidth="1"/>
    <col min="14425" max="14666" width="20.83203125" style="98"/>
    <col min="14667" max="14667" width="2.6640625" style="98" customWidth="1"/>
    <col min="14668" max="14668" width="30.6640625" style="98" customWidth="1"/>
    <col min="14669" max="14678" width="10" style="98" customWidth="1"/>
    <col min="14679" max="14679" width="28.1640625" style="98" bestFit="1" customWidth="1"/>
    <col min="14680" max="14680" width="7.5" style="98" customWidth="1"/>
    <col min="14681" max="14922" width="20.83203125" style="98"/>
    <col min="14923" max="14923" width="2.6640625" style="98" customWidth="1"/>
    <col min="14924" max="14924" width="30.6640625" style="98" customWidth="1"/>
    <col min="14925" max="14934" width="10" style="98" customWidth="1"/>
    <col min="14935" max="14935" width="28.1640625" style="98" bestFit="1" customWidth="1"/>
    <col min="14936" max="14936" width="7.5" style="98" customWidth="1"/>
    <col min="14937" max="15178" width="20.83203125" style="98"/>
    <col min="15179" max="15179" width="2.6640625" style="98" customWidth="1"/>
    <col min="15180" max="15180" width="30.6640625" style="98" customWidth="1"/>
    <col min="15181" max="15190" width="10" style="98" customWidth="1"/>
    <col min="15191" max="15191" width="28.1640625" style="98" bestFit="1" customWidth="1"/>
    <col min="15192" max="15192" width="7.5" style="98" customWidth="1"/>
    <col min="15193" max="15434" width="20.83203125" style="98"/>
    <col min="15435" max="15435" width="2.6640625" style="98" customWidth="1"/>
    <col min="15436" max="15436" width="30.6640625" style="98" customWidth="1"/>
    <col min="15437" max="15446" width="10" style="98" customWidth="1"/>
    <col min="15447" max="15447" width="28.1640625" style="98" bestFit="1" customWidth="1"/>
    <col min="15448" max="15448" width="7.5" style="98" customWidth="1"/>
    <col min="15449" max="15690" width="20.83203125" style="98"/>
    <col min="15691" max="15691" width="2.6640625" style="98" customWidth="1"/>
    <col min="15692" max="15692" width="30.6640625" style="98" customWidth="1"/>
    <col min="15693" max="15702" width="10" style="98" customWidth="1"/>
    <col min="15703" max="15703" width="28.1640625" style="98" bestFit="1" customWidth="1"/>
    <col min="15704" max="15704" width="7.5" style="98" customWidth="1"/>
    <col min="15705" max="15946" width="20.83203125" style="98"/>
    <col min="15947" max="15947" width="2.6640625" style="98" customWidth="1"/>
    <col min="15948" max="15948" width="30.6640625" style="98" customWidth="1"/>
    <col min="15949" max="15958" width="10" style="98" customWidth="1"/>
    <col min="15959" max="15959" width="28.1640625" style="98" bestFit="1" customWidth="1"/>
    <col min="15960" max="15960" width="7.5" style="98" customWidth="1"/>
    <col min="15961" max="16202" width="20.83203125" style="98"/>
    <col min="16203" max="16203" width="2.6640625" style="98" customWidth="1"/>
    <col min="16204" max="16204" width="30.6640625" style="98" customWidth="1"/>
    <col min="16205" max="16214" width="10" style="98" customWidth="1"/>
    <col min="16215" max="16215" width="28.1640625" style="98" bestFit="1" customWidth="1"/>
    <col min="16216" max="16216" width="7.5" style="98" customWidth="1"/>
    <col min="16217" max="16384" width="20.83203125" style="98"/>
  </cols>
  <sheetData>
    <row r="2" spans="1:111" s="146" customFormat="1" ht="30" customHeight="1" thickBot="1">
      <c r="A2" s="799"/>
      <c r="B2" s="98"/>
      <c r="C2" s="2905" t="s">
        <v>832</v>
      </c>
      <c r="D2" s="2905"/>
      <c r="E2" s="2905"/>
      <c r="F2" s="2905"/>
      <c r="G2" s="2905"/>
      <c r="H2" s="2905"/>
      <c r="I2" s="2905"/>
      <c r="J2" s="2905"/>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c r="AN2" s="2905"/>
      <c r="AO2" s="2905"/>
      <c r="AP2" s="2905"/>
      <c r="AQ2" s="2905"/>
      <c r="AR2" s="2905"/>
      <c r="AS2" s="2905"/>
      <c r="AT2" s="2905"/>
      <c r="AU2" s="2905"/>
      <c r="AV2" s="2905"/>
      <c r="AW2" s="2905"/>
      <c r="AX2" s="2905"/>
      <c r="AY2" s="2905"/>
      <c r="AZ2" s="2905"/>
      <c r="BA2" s="2905"/>
      <c r="BB2" s="2905"/>
      <c r="BC2" s="2905"/>
      <c r="BD2" s="2905"/>
      <c r="BE2" s="2905"/>
      <c r="BF2" s="2905"/>
      <c r="BG2" s="2905"/>
      <c r="BH2" s="2905"/>
      <c r="BI2" s="2905"/>
      <c r="BJ2" s="2905"/>
      <c r="BK2" s="2905"/>
      <c r="BL2" s="2905"/>
      <c r="BM2" s="2905"/>
      <c r="BN2" s="2905"/>
      <c r="BO2" s="2905"/>
      <c r="BP2" s="2905"/>
      <c r="BQ2" s="2905"/>
      <c r="BR2" s="2905"/>
      <c r="BS2" s="2905"/>
      <c r="BT2" s="2905"/>
      <c r="BU2" s="2905"/>
      <c r="BV2" s="2905"/>
      <c r="BW2" s="2905"/>
      <c r="BX2" s="2905"/>
      <c r="BY2" s="2905"/>
      <c r="BZ2" s="2905"/>
      <c r="CA2" s="2905"/>
      <c r="CB2" s="2905"/>
      <c r="CC2" s="2905"/>
      <c r="CD2" s="2905"/>
      <c r="CE2" s="2905"/>
      <c r="CF2" s="2905"/>
      <c r="CG2" s="2905"/>
      <c r="CN2" s="1204"/>
    </row>
    <row r="3" spans="1:111" ht="39.75" customHeight="1" thickBot="1">
      <c r="A3" s="2900" t="s">
        <v>869</v>
      </c>
      <c r="B3" s="2901"/>
      <c r="C3" s="2934" t="s">
        <v>345</v>
      </c>
      <c r="D3" s="2935"/>
      <c r="E3" s="2935"/>
      <c r="F3" s="2935"/>
      <c r="G3" s="2935"/>
      <c r="H3" s="2935"/>
      <c r="I3" s="2935"/>
      <c r="J3" s="2935"/>
      <c r="K3" s="2935"/>
      <c r="L3" s="2935"/>
      <c r="M3" s="2935"/>
      <c r="N3" s="2935"/>
      <c r="O3" s="2935"/>
      <c r="P3" s="2935"/>
      <c r="Q3" s="2935"/>
      <c r="R3" s="2935"/>
      <c r="S3" s="2935"/>
      <c r="T3" s="2935"/>
      <c r="U3" s="2935"/>
      <c r="V3" s="2935"/>
      <c r="W3" s="2935"/>
      <c r="X3" s="2935"/>
      <c r="Y3" s="2935"/>
      <c r="Z3" s="2935"/>
      <c r="AA3" s="2935"/>
      <c r="AB3" s="2935"/>
      <c r="AC3" s="2935"/>
      <c r="AD3" s="2935"/>
      <c r="AE3" s="2935"/>
      <c r="AF3" s="2935"/>
      <c r="AG3" s="2935"/>
      <c r="AH3" s="2935"/>
      <c r="AI3" s="2935"/>
      <c r="AJ3" s="2935"/>
      <c r="AK3" s="2935"/>
      <c r="AL3" s="2935"/>
      <c r="AM3" s="2935"/>
      <c r="AN3" s="2935"/>
      <c r="AO3" s="2935"/>
      <c r="AP3" s="2935"/>
      <c r="AQ3" s="2935"/>
      <c r="AR3" s="2935"/>
      <c r="AS3" s="2935"/>
      <c r="AT3" s="2935"/>
      <c r="AU3" s="2935"/>
      <c r="AV3" s="2935"/>
      <c r="AW3" s="2935"/>
      <c r="AX3" s="2935"/>
      <c r="AY3" s="2935"/>
      <c r="AZ3" s="2935"/>
      <c r="BA3" s="2935"/>
      <c r="BB3" s="2935"/>
      <c r="BC3" s="2935"/>
      <c r="BD3" s="2935"/>
      <c r="BE3" s="2935"/>
      <c r="BF3" s="2935"/>
      <c r="BG3" s="2936"/>
      <c r="BH3" s="2906" t="s">
        <v>284</v>
      </c>
      <c r="BI3" s="2907"/>
      <c r="BJ3" s="2907"/>
      <c r="BK3" s="2907"/>
      <c r="BL3" s="2907"/>
      <c r="BM3" s="2908"/>
      <c r="BN3" s="2909" t="s">
        <v>862</v>
      </c>
      <c r="BO3" s="2910"/>
      <c r="BP3" s="2911"/>
      <c r="BQ3" s="2912"/>
      <c r="BR3" s="2912"/>
      <c r="BS3" s="2912"/>
      <c r="BT3" s="2913"/>
      <c r="BU3" s="2914"/>
      <c r="BV3" s="2911"/>
      <c r="BW3" s="2911"/>
      <c r="BX3" s="2911"/>
      <c r="BY3" s="2911"/>
      <c r="BZ3" s="2915"/>
      <c r="CA3" s="2906" t="s">
        <v>349</v>
      </c>
      <c r="CB3" s="2907"/>
      <c r="CC3" s="2907"/>
      <c r="CD3" s="2907"/>
      <c r="CE3" s="2907"/>
      <c r="CF3" s="2907"/>
      <c r="CG3" s="2908"/>
    </row>
    <row r="4" spans="1:111" ht="43" customHeight="1" thickBot="1">
      <c r="A4" s="2902"/>
      <c r="B4" s="2903"/>
      <c r="C4" s="2920" t="s">
        <v>1391</v>
      </c>
      <c r="D4" s="2921"/>
      <c r="E4" s="2921"/>
      <c r="F4" s="2921"/>
      <c r="G4" s="2922"/>
      <c r="H4" s="2921"/>
      <c r="I4" s="2921"/>
      <c r="J4" s="2922"/>
      <c r="K4" s="2921"/>
      <c r="L4" s="2921"/>
      <c r="M4" s="2921"/>
      <c r="N4" s="2921"/>
      <c r="O4" s="2921"/>
      <c r="P4" s="2921"/>
      <c r="Q4" s="2921"/>
      <c r="R4" s="2921"/>
      <c r="S4" s="2921"/>
      <c r="T4" s="2921"/>
      <c r="U4" s="2923"/>
      <c r="V4" s="2924" t="s">
        <v>821</v>
      </c>
      <c r="W4" s="2925"/>
      <c r="X4" s="2925"/>
      <c r="Y4" s="2925"/>
      <c r="Z4" s="2925"/>
      <c r="AA4" s="2925"/>
      <c r="AB4" s="2925"/>
      <c r="AC4" s="2925"/>
      <c r="AD4" s="2925"/>
      <c r="AE4" s="2925"/>
      <c r="AF4" s="2925"/>
      <c r="AG4" s="2925"/>
      <c r="AH4" s="2925"/>
      <c r="AI4" s="2926"/>
      <c r="AJ4" s="2920" t="s">
        <v>1341</v>
      </c>
      <c r="AK4" s="2921"/>
      <c r="AL4" s="2921"/>
      <c r="AM4" s="2921"/>
      <c r="AN4" s="2921"/>
      <c r="AO4" s="2921"/>
      <c r="AP4" s="2921"/>
      <c r="AQ4" s="2921"/>
      <c r="AR4" s="2921"/>
      <c r="AS4" s="2921"/>
      <c r="AT4" s="2921"/>
      <c r="AU4" s="2923"/>
      <c r="AV4" s="2920" t="s">
        <v>1346</v>
      </c>
      <c r="AW4" s="2921"/>
      <c r="AX4" s="2921"/>
      <c r="AY4" s="2921"/>
      <c r="AZ4" s="2921"/>
      <c r="BA4" s="2921"/>
      <c r="BB4" s="2921"/>
      <c r="BC4" s="2921"/>
      <c r="BD4" s="2921"/>
      <c r="BE4" s="2921"/>
      <c r="BF4" s="2921"/>
      <c r="BG4" s="2923"/>
      <c r="BH4" s="2927" t="s">
        <v>1342</v>
      </c>
      <c r="BI4" s="2928"/>
      <c r="BJ4" s="2928"/>
      <c r="BK4" s="2928"/>
      <c r="BL4" s="2928"/>
      <c r="BM4" s="2929"/>
      <c r="BN4" s="2927" t="s">
        <v>1344</v>
      </c>
      <c r="BO4" s="2930"/>
      <c r="BP4" s="2928"/>
      <c r="BQ4" s="2931"/>
      <c r="BR4" s="2931"/>
      <c r="BS4" s="2931"/>
      <c r="BT4" s="2932"/>
      <c r="BU4" s="2933"/>
      <c r="BV4" s="2928"/>
      <c r="BW4" s="2928"/>
      <c r="BX4" s="2928"/>
      <c r="BY4" s="2928"/>
      <c r="BZ4" s="2929"/>
      <c r="CA4" s="2927" t="s">
        <v>1321</v>
      </c>
      <c r="CB4" s="2928"/>
      <c r="CC4" s="2928"/>
      <c r="CD4" s="2928"/>
      <c r="CE4" s="2928"/>
      <c r="CF4" s="2928"/>
      <c r="CG4" s="2929"/>
    </row>
    <row r="5" spans="1:111" ht="35" customHeight="1" thickBot="1">
      <c r="A5" s="2902"/>
      <c r="B5" s="2903"/>
      <c r="C5" s="2899" t="s">
        <v>1392</v>
      </c>
      <c r="D5" s="2894"/>
      <c r="E5" s="2894"/>
      <c r="F5" s="2894"/>
      <c r="G5" s="2893"/>
      <c r="H5" s="2894"/>
      <c r="I5" s="2894"/>
      <c r="J5" s="2893"/>
      <c r="K5" s="2894"/>
      <c r="L5" s="2894"/>
      <c r="M5" s="2894"/>
      <c r="N5" s="2894"/>
      <c r="O5" s="2894"/>
      <c r="P5" s="2894"/>
      <c r="Q5" s="2894"/>
      <c r="R5" s="2894"/>
      <c r="S5" s="2893"/>
      <c r="T5" s="2938" t="s">
        <v>1393</v>
      </c>
      <c r="U5" s="2939"/>
      <c r="V5" s="2893" t="s">
        <v>857</v>
      </c>
      <c r="W5" s="2894"/>
      <c r="X5" s="2894"/>
      <c r="Y5" s="2894"/>
      <c r="Z5" s="2894"/>
      <c r="AA5" s="2894"/>
      <c r="AB5" s="2894"/>
      <c r="AC5" s="2894"/>
      <c r="AD5" s="2894"/>
      <c r="AE5" s="2894"/>
      <c r="AF5" s="2894"/>
      <c r="AG5" s="2893"/>
      <c r="AH5" s="2895" t="s">
        <v>852</v>
      </c>
      <c r="AI5" s="2896"/>
      <c r="AJ5" s="2893" t="s">
        <v>858</v>
      </c>
      <c r="AK5" s="2894"/>
      <c r="AL5" s="2894"/>
      <c r="AM5" s="2894"/>
      <c r="AN5" s="2894"/>
      <c r="AO5" s="2894"/>
      <c r="AP5" s="2894"/>
      <c r="AQ5" s="2894"/>
      <c r="AR5" s="2894"/>
      <c r="AS5" s="2893"/>
      <c r="AT5" s="2895" t="s">
        <v>853</v>
      </c>
      <c r="AU5" s="2896"/>
      <c r="AV5" s="2893" t="s">
        <v>1347</v>
      </c>
      <c r="AW5" s="2894"/>
      <c r="AX5" s="2894"/>
      <c r="AY5" s="2894"/>
      <c r="AZ5" s="2894"/>
      <c r="BA5" s="2894"/>
      <c r="BB5" s="2894"/>
      <c r="BC5" s="2894"/>
      <c r="BD5" s="2894"/>
      <c r="BE5" s="2893"/>
      <c r="BF5" s="2895" t="s">
        <v>1345</v>
      </c>
      <c r="BG5" s="2896"/>
      <c r="BH5" s="2940" t="s">
        <v>859</v>
      </c>
      <c r="BI5" s="2941"/>
      <c r="BJ5" s="2941"/>
      <c r="BK5" s="2940"/>
      <c r="BL5" s="2895" t="s">
        <v>854</v>
      </c>
      <c r="BM5" s="2896"/>
      <c r="BN5" s="2916" t="s">
        <v>860</v>
      </c>
      <c r="BO5" s="2916"/>
      <c r="BP5" s="2916"/>
      <c r="BQ5" s="2916"/>
      <c r="BR5" s="2916"/>
      <c r="BS5" s="2916"/>
      <c r="BT5" s="2916"/>
      <c r="BU5" s="2916"/>
      <c r="BV5" s="2916"/>
      <c r="BW5" s="2916"/>
      <c r="BX5" s="2916"/>
      <c r="BY5" s="2895" t="s">
        <v>855</v>
      </c>
      <c r="BZ5" s="2896"/>
      <c r="CA5" s="2916" t="s">
        <v>861</v>
      </c>
      <c r="CB5" s="2916"/>
      <c r="CC5" s="2916"/>
      <c r="CD5" s="2916"/>
      <c r="CE5" s="2919"/>
      <c r="CF5" s="2917" t="s">
        <v>856</v>
      </c>
      <c r="CG5" s="2918"/>
      <c r="CH5" s="922"/>
      <c r="CI5" s="922"/>
      <c r="CJ5" s="922"/>
      <c r="CK5" s="922"/>
      <c r="CL5" s="922"/>
    </row>
    <row r="6" spans="1:111" s="1701" customFormat="1" ht="35" customHeight="1" thickBot="1">
      <c r="A6" s="2956" t="s">
        <v>346</v>
      </c>
      <c r="B6" s="2956"/>
      <c r="C6" s="1770" t="s">
        <v>355</v>
      </c>
      <c r="D6" s="1572" t="s">
        <v>355</v>
      </c>
      <c r="E6" s="1573" t="s">
        <v>1145</v>
      </c>
      <c r="F6" s="1573" t="s">
        <v>1145</v>
      </c>
      <c r="G6" s="1573" t="s">
        <v>1145</v>
      </c>
      <c r="H6" s="1573" t="s">
        <v>1145</v>
      </c>
      <c r="I6" s="1573" t="s">
        <v>1145</v>
      </c>
      <c r="J6" s="1573" t="s">
        <v>1145</v>
      </c>
      <c r="K6" s="1574" t="s">
        <v>1145</v>
      </c>
      <c r="L6" s="1574" t="s">
        <v>1145</v>
      </c>
      <c r="M6" s="1574" t="s">
        <v>1145</v>
      </c>
      <c r="N6" s="1574" t="s">
        <v>1145</v>
      </c>
      <c r="O6" s="1574" t="s">
        <v>1145</v>
      </c>
      <c r="P6" s="1574" t="s">
        <v>1145</v>
      </c>
      <c r="Q6" s="1574" t="s">
        <v>1145</v>
      </c>
      <c r="R6" s="1574" t="s">
        <v>1145</v>
      </c>
      <c r="S6" s="1575" t="s">
        <v>1145</v>
      </c>
      <c r="T6" s="1571" t="s">
        <v>843</v>
      </c>
      <c r="U6" s="1572" t="s">
        <v>844</v>
      </c>
      <c r="V6" s="1756" t="s">
        <v>1125</v>
      </c>
      <c r="W6" s="1757" t="s">
        <v>1125</v>
      </c>
      <c r="X6" s="1758" t="s">
        <v>1145</v>
      </c>
      <c r="Y6" s="1758" t="s">
        <v>1145</v>
      </c>
      <c r="Z6" s="1758" t="s">
        <v>1145</v>
      </c>
      <c r="AA6" s="1758" t="s">
        <v>1145</v>
      </c>
      <c r="AB6" s="1758" t="s">
        <v>1145</v>
      </c>
      <c r="AC6" s="1758" t="s">
        <v>1145</v>
      </c>
      <c r="AD6" s="1758" t="s">
        <v>1145</v>
      </c>
      <c r="AE6" s="1758" t="s">
        <v>1145</v>
      </c>
      <c r="AF6" s="1758" t="s">
        <v>1145</v>
      </c>
      <c r="AG6" s="1759" t="s">
        <v>1145</v>
      </c>
      <c r="AH6" s="1571" t="s">
        <v>843</v>
      </c>
      <c r="AI6" s="1572" t="s">
        <v>844</v>
      </c>
      <c r="AJ6" s="1758" t="s">
        <v>1145</v>
      </c>
      <c r="AK6" s="1758" t="s">
        <v>1145</v>
      </c>
      <c r="AL6" s="1758" t="s">
        <v>1145</v>
      </c>
      <c r="AM6" s="1758" t="s">
        <v>1145</v>
      </c>
      <c r="AN6" s="1758" t="s">
        <v>1145</v>
      </c>
      <c r="AO6" s="1758" t="s">
        <v>1145</v>
      </c>
      <c r="AP6" s="1758" t="s">
        <v>1145</v>
      </c>
      <c r="AQ6" s="1758" t="s">
        <v>1145</v>
      </c>
      <c r="AR6" s="1758" t="s">
        <v>1145</v>
      </c>
      <c r="AS6" s="1759" t="s">
        <v>1145</v>
      </c>
      <c r="AT6" s="1771" t="s">
        <v>843</v>
      </c>
      <c r="AU6" s="1772" t="s">
        <v>844</v>
      </c>
      <c r="AV6" s="1771" t="s">
        <v>1145</v>
      </c>
      <c r="AW6" s="1770" t="s">
        <v>1145</v>
      </c>
      <c r="AX6" s="1770" t="s">
        <v>1145</v>
      </c>
      <c r="AY6" s="1770" t="s">
        <v>1145</v>
      </c>
      <c r="AZ6" s="1770" t="s">
        <v>1145</v>
      </c>
      <c r="BA6" s="1770" t="s">
        <v>1145</v>
      </c>
      <c r="BB6" s="1770" t="s">
        <v>1145</v>
      </c>
      <c r="BC6" s="1770" t="s">
        <v>1145</v>
      </c>
      <c r="BD6" s="1770" t="s">
        <v>1145</v>
      </c>
      <c r="BE6" s="1777" t="s">
        <v>1145</v>
      </c>
      <c r="BF6" s="1771" t="s">
        <v>843</v>
      </c>
      <c r="BG6" s="1772" t="s">
        <v>844</v>
      </c>
      <c r="BH6" s="1771" t="s">
        <v>1146</v>
      </c>
      <c r="BI6" s="1790" t="s">
        <v>1146</v>
      </c>
      <c r="BJ6" s="1790" t="s">
        <v>1146</v>
      </c>
      <c r="BK6" s="1774" t="s">
        <v>1146</v>
      </c>
      <c r="BL6" s="1795" t="s">
        <v>846</v>
      </c>
      <c r="BM6" s="1796" t="s">
        <v>847</v>
      </c>
      <c r="BN6" s="1771" t="s">
        <v>354</v>
      </c>
      <c r="BO6" s="1790" t="s">
        <v>354</v>
      </c>
      <c r="BP6" s="1790" t="s">
        <v>354</v>
      </c>
      <c r="BQ6" s="1790" t="s">
        <v>354</v>
      </c>
      <c r="BR6" s="1797" t="s">
        <v>354</v>
      </c>
      <c r="BS6" s="1797" t="s">
        <v>354</v>
      </c>
      <c r="BT6" s="1797" t="s">
        <v>354</v>
      </c>
      <c r="BU6" s="1797" t="s">
        <v>354</v>
      </c>
      <c r="BV6" s="1797" t="s">
        <v>354</v>
      </c>
      <c r="BW6" s="1797" t="s">
        <v>1147</v>
      </c>
      <c r="BX6" s="1799" t="s">
        <v>1147</v>
      </c>
      <c r="BY6" s="1795" t="s">
        <v>848</v>
      </c>
      <c r="BZ6" s="1801" t="s">
        <v>849</v>
      </c>
      <c r="CA6" s="1771" t="s">
        <v>1148</v>
      </c>
      <c r="CB6" s="1797" t="s">
        <v>1148</v>
      </c>
      <c r="CC6" s="1797" t="s">
        <v>1148</v>
      </c>
      <c r="CD6" s="1797" t="s">
        <v>1148</v>
      </c>
      <c r="CE6" s="1772" t="s">
        <v>1148</v>
      </c>
      <c r="CF6" s="1795" t="s">
        <v>850</v>
      </c>
      <c r="CG6" s="1807" t="s">
        <v>851</v>
      </c>
      <c r="CH6" s="1700"/>
      <c r="CI6" s="1700"/>
      <c r="CJ6" s="1700"/>
      <c r="CK6" s="1700"/>
      <c r="CL6" s="1700"/>
      <c r="CM6" s="1210" t="s">
        <v>1221</v>
      </c>
      <c r="CN6" s="1211" t="s">
        <v>1187</v>
      </c>
      <c r="CO6" s="1211" t="s">
        <v>986</v>
      </c>
      <c r="CP6" s="1217" t="s">
        <v>1225</v>
      </c>
      <c r="CQ6" s="1218" t="s">
        <v>1187</v>
      </c>
      <c r="CR6" s="1218" t="s">
        <v>986</v>
      </c>
      <c r="CS6" s="1221" t="s">
        <v>1227</v>
      </c>
      <c r="CT6" s="1222" t="s">
        <v>1187</v>
      </c>
      <c r="CU6" s="1222" t="s">
        <v>986</v>
      </c>
      <c r="CV6" s="1224" t="s">
        <v>1228</v>
      </c>
      <c r="CW6" s="1225" t="s">
        <v>1187</v>
      </c>
      <c r="CX6" s="1226" t="s">
        <v>986</v>
      </c>
      <c r="CY6" s="1233" t="s">
        <v>1229</v>
      </c>
      <c r="CZ6" s="1234" t="s">
        <v>1187</v>
      </c>
      <c r="DA6" s="1235" t="s">
        <v>986</v>
      </c>
      <c r="DB6" s="1241" t="s">
        <v>1235</v>
      </c>
      <c r="DC6" s="1242" t="s">
        <v>1187</v>
      </c>
      <c r="DD6" s="1243" t="s">
        <v>986</v>
      </c>
      <c r="DE6" s="1217" t="s">
        <v>1353</v>
      </c>
      <c r="DF6" s="1812" t="s">
        <v>1187</v>
      </c>
      <c r="DG6" s="1218" t="s">
        <v>986</v>
      </c>
    </row>
    <row r="7" spans="1:111" ht="24" customHeight="1" thickBot="1">
      <c r="A7" s="2882" t="s">
        <v>1102</v>
      </c>
      <c r="B7" s="2882"/>
      <c r="C7" s="2216"/>
      <c r="D7" s="1648"/>
      <c r="E7" s="2398"/>
      <c r="F7" s="1649"/>
      <c r="G7" s="1649"/>
      <c r="H7" s="1649"/>
      <c r="I7" s="1649"/>
      <c r="J7" s="1649"/>
      <c r="K7" s="1649"/>
      <c r="L7" s="1649"/>
      <c r="M7" s="1649"/>
      <c r="N7" s="1649"/>
      <c r="O7" s="1649"/>
      <c r="P7" s="1649"/>
      <c r="Q7" s="1649"/>
      <c r="R7" s="1649"/>
      <c r="S7" s="1650"/>
      <c r="T7" s="1750"/>
      <c r="U7" s="1751"/>
      <c r="V7" s="1709"/>
      <c r="W7" s="1711"/>
      <c r="X7" s="1736"/>
      <c r="Y7" s="1736"/>
      <c r="Z7" s="1736"/>
      <c r="AA7" s="1736"/>
      <c r="AB7" s="1736"/>
      <c r="AC7" s="1736"/>
      <c r="AD7" s="1736"/>
      <c r="AE7" s="1736"/>
      <c r="AF7" s="1736"/>
      <c r="AG7" s="1760"/>
      <c r="AH7" s="1761"/>
      <c r="AI7" s="1751"/>
      <c r="AJ7" s="1709"/>
      <c r="AK7" s="1736"/>
      <c r="AL7" s="1736"/>
      <c r="AM7" s="1736"/>
      <c r="AN7" s="1736"/>
      <c r="AO7" s="1736"/>
      <c r="AP7" s="1736"/>
      <c r="AQ7" s="1736"/>
      <c r="AR7" s="1736"/>
      <c r="AS7" s="1760"/>
      <c r="AT7" s="1651"/>
      <c r="AU7" s="1773"/>
      <c r="AV7" s="1658"/>
      <c r="AW7" s="1737"/>
      <c r="AX7" s="1737"/>
      <c r="AY7" s="1737"/>
      <c r="AZ7" s="1737"/>
      <c r="BA7" s="1737"/>
      <c r="BB7" s="1737"/>
      <c r="BC7" s="1737"/>
      <c r="BD7" s="1737"/>
      <c r="BE7" s="1778"/>
      <c r="BF7" s="1651"/>
      <c r="BG7" s="1773"/>
      <c r="BH7" s="1658"/>
      <c r="BI7" s="1737"/>
      <c r="BJ7" s="1737"/>
      <c r="BK7" s="1775"/>
      <c r="BL7" s="1651"/>
      <c r="BM7" s="1773"/>
      <c r="BN7" s="1737"/>
      <c r="BO7" s="1737"/>
      <c r="BP7" s="1737"/>
      <c r="BQ7" s="1737"/>
      <c r="BR7" s="1737"/>
      <c r="BS7" s="1737"/>
      <c r="BT7" s="1737"/>
      <c r="BU7" s="1737"/>
      <c r="BV7" s="1737"/>
      <c r="BW7" s="1511"/>
      <c r="BX7" s="1781"/>
      <c r="BY7" s="1651"/>
      <c r="BZ7" s="1802"/>
      <c r="CA7" s="1658"/>
      <c r="CB7" s="1737"/>
      <c r="CC7" s="1737"/>
      <c r="CD7" s="1737"/>
      <c r="CE7" s="1775"/>
      <c r="CF7" s="1651"/>
      <c r="CG7" s="1773"/>
      <c r="CH7" s="801"/>
      <c r="CI7" s="801"/>
      <c r="CJ7" s="801"/>
      <c r="CK7" s="801" t="s">
        <v>830</v>
      </c>
      <c r="CL7" s="801"/>
      <c r="CM7" s="1189" t="s">
        <v>1222</v>
      </c>
      <c r="CN7" s="1202"/>
      <c r="CO7" s="1208">
        <f>SUM(C98:D98)</f>
        <v>0</v>
      </c>
      <c r="CP7" s="1212" t="s">
        <v>1222</v>
      </c>
      <c r="CQ7" s="1202"/>
      <c r="CR7" s="1213">
        <f>SUM(V98:W98)</f>
        <v>0</v>
      </c>
      <c r="CS7" s="1219" t="s">
        <v>1223</v>
      </c>
      <c r="CT7" s="2314"/>
      <c r="CU7" s="1207">
        <f>SUM(AJ97:AS97)</f>
        <v>0</v>
      </c>
      <c r="CV7" s="1227" t="s">
        <v>1213</v>
      </c>
      <c r="CW7" s="2314"/>
      <c r="CX7" s="1223">
        <f>SUM(BH97:BK97)</f>
        <v>0</v>
      </c>
      <c r="CY7" s="1228" t="s">
        <v>1213</v>
      </c>
      <c r="CZ7" s="2314"/>
      <c r="DA7" s="1229">
        <f>SUM(BN97:BX97)</f>
        <v>0</v>
      </c>
      <c r="DB7" s="1236" t="s">
        <v>1213</v>
      </c>
      <c r="DC7" s="2314"/>
      <c r="DD7" s="1237">
        <f>SUM(CA97:CE97)</f>
        <v>0</v>
      </c>
      <c r="DE7" s="1813" t="s">
        <v>1213</v>
      </c>
      <c r="DF7" s="2314"/>
      <c r="DG7" s="1814">
        <f>SUM(AV97:BE97)</f>
        <v>0</v>
      </c>
    </row>
    <row r="8" spans="1:111" ht="24" customHeight="1">
      <c r="A8" s="2882" t="s">
        <v>835</v>
      </c>
      <c r="B8" s="2882"/>
      <c r="C8" s="1653"/>
      <c r="D8" s="1652"/>
      <c r="E8" s="1653"/>
      <c r="F8" s="1654"/>
      <c r="G8" s="1654"/>
      <c r="H8" s="1654"/>
      <c r="I8" s="1654"/>
      <c r="J8" s="1654"/>
      <c r="K8" s="1654"/>
      <c r="L8" s="1654"/>
      <c r="M8" s="1654"/>
      <c r="N8" s="1654"/>
      <c r="O8" s="1654"/>
      <c r="P8" s="1654"/>
      <c r="Q8" s="1654"/>
      <c r="R8" s="1654"/>
      <c r="S8" s="1655"/>
      <c r="T8" s="2266"/>
      <c r="U8" s="1753"/>
      <c r="V8" s="1656"/>
      <c r="W8" s="1652"/>
      <c r="X8" s="1653"/>
      <c r="Y8" s="1654"/>
      <c r="Z8" s="1654"/>
      <c r="AA8" s="1654"/>
      <c r="AB8" s="1654"/>
      <c r="AC8" s="1654"/>
      <c r="AD8" s="1654"/>
      <c r="AE8" s="1654"/>
      <c r="AF8" s="1654"/>
      <c r="AG8" s="1652"/>
      <c r="AH8" s="1752"/>
      <c r="AI8" s="1753"/>
      <c r="AJ8" s="1656"/>
      <c r="AK8" s="1654"/>
      <c r="AL8" s="1654"/>
      <c r="AM8" s="1654"/>
      <c r="AN8" s="1654"/>
      <c r="AO8" s="1654"/>
      <c r="AP8" s="1654"/>
      <c r="AQ8" s="1654"/>
      <c r="AR8" s="1654"/>
      <c r="AS8" s="1652"/>
      <c r="AT8" s="1657"/>
      <c r="AU8" s="1754"/>
      <c r="AV8" s="1656"/>
      <c r="AW8" s="1776"/>
      <c r="AX8" s="1776"/>
      <c r="AY8" s="1776"/>
      <c r="AZ8" s="1776"/>
      <c r="BA8" s="1776"/>
      <c r="BB8" s="1776"/>
      <c r="BC8" s="1776"/>
      <c r="BD8" s="1776"/>
      <c r="BE8" s="1779"/>
      <c r="BF8" s="1657"/>
      <c r="BG8" s="1754"/>
      <c r="BH8" s="1656"/>
      <c r="BI8" s="1776"/>
      <c r="BJ8" s="1776"/>
      <c r="BK8" s="1652"/>
      <c r="BL8" s="1657"/>
      <c r="BM8" s="1754"/>
      <c r="BN8" s="1656"/>
      <c r="BO8" s="1653"/>
      <c r="BP8" s="1776"/>
      <c r="BQ8" s="1776"/>
      <c r="BR8" s="1776"/>
      <c r="BS8" s="1776"/>
      <c r="BT8" s="1776"/>
      <c r="BU8" s="1776"/>
      <c r="BV8" s="1776"/>
      <c r="BW8" s="1776"/>
      <c r="BX8" s="1779"/>
      <c r="BY8" s="1658"/>
      <c r="BZ8" s="1775"/>
      <c r="CA8" s="1656"/>
      <c r="CB8" s="1776"/>
      <c r="CC8" s="1776"/>
      <c r="CD8" s="1776"/>
      <c r="CE8" s="1652"/>
      <c r="CF8" s="1658"/>
      <c r="CG8" s="1712"/>
      <c r="CH8" s="801" t="s">
        <v>788</v>
      </c>
      <c r="CI8" s="801"/>
      <c r="CJ8" s="801"/>
      <c r="CK8" s="801">
        <v>137</v>
      </c>
      <c r="CL8" s="801"/>
      <c r="CM8" s="1189" t="s">
        <v>1220</v>
      </c>
      <c r="CN8" s="1202"/>
      <c r="CO8" s="1208">
        <f>SUM(C101:D101)</f>
        <v>0</v>
      </c>
      <c r="CP8" s="1212" t="s">
        <v>1220</v>
      </c>
      <c r="CQ8" s="1202"/>
      <c r="CR8" s="1213">
        <f>SUM(V101:W101)</f>
        <v>0</v>
      </c>
      <c r="CS8" s="1191" t="s">
        <v>1198</v>
      </c>
      <c r="CT8" s="1202"/>
      <c r="CU8" s="1207">
        <f>SUM(AJ102:AS102)</f>
        <v>0</v>
      </c>
      <c r="CV8" s="1194" t="s">
        <v>1198</v>
      </c>
      <c r="CW8" s="1202"/>
      <c r="CX8" s="1223">
        <f>SUM(BH102:BK102)</f>
        <v>0</v>
      </c>
      <c r="CY8" s="1230" t="s">
        <v>1198</v>
      </c>
      <c r="CZ8" s="1202"/>
      <c r="DA8" s="1229">
        <f>SUM(BN102:BX102)</f>
        <v>0</v>
      </c>
      <c r="DB8" s="1238" t="s">
        <v>1198</v>
      </c>
      <c r="DC8" s="1202"/>
      <c r="DD8" s="1237">
        <f>SUM(CA102:CE102)</f>
        <v>0</v>
      </c>
      <c r="DE8" s="1815" t="s">
        <v>1198</v>
      </c>
      <c r="DF8" s="1202"/>
      <c r="DG8" s="1814">
        <f>SUM(AV102:BG102)</f>
        <v>0</v>
      </c>
    </row>
    <row r="9" spans="1:111" ht="24" customHeight="1">
      <c r="A9" s="2882" t="s">
        <v>1103</v>
      </c>
      <c r="B9" s="2882"/>
      <c r="C9" s="1653"/>
      <c r="D9" s="1652"/>
      <c r="E9" s="1653"/>
      <c r="F9" s="1654"/>
      <c r="G9" s="1654"/>
      <c r="H9" s="1654"/>
      <c r="I9" s="1654"/>
      <c r="J9" s="1654"/>
      <c r="K9" s="1654"/>
      <c r="L9" s="1654"/>
      <c r="M9" s="1654"/>
      <c r="N9" s="1654"/>
      <c r="O9" s="1654"/>
      <c r="P9" s="1654"/>
      <c r="Q9" s="1654"/>
      <c r="R9" s="1654"/>
      <c r="S9" s="1655"/>
      <c r="T9" s="2267"/>
      <c r="U9" s="1660"/>
      <c r="V9" s="1656"/>
      <c r="W9" s="1652"/>
      <c r="X9" s="1653"/>
      <c r="Y9" s="1654"/>
      <c r="Z9" s="1654"/>
      <c r="AA9" s="1654"/>
      <c r="AB9" s="1654"/>
      <c r="AC9" s="1654"/>
      <c r="AD9" s="1654"/>
      <c r="AE9" s="1654"/>
      <c r="AF9" s="1654"/>
      <c r="AG9" s="1652"/>
      <c r="AH9" s="1659"/>
      <c r="AI9" s="1660"/>
      <c r="AJ9" s="1656"/>
      <c r="AK9" s="1654"/>
      <c r="AL9" s="1654"/>
      <c r="AM9" s="1654"/>
      <c r="AN9" s="1654"/>
      <c r="AO9" s="1654"/>
      <c r="AP9" s="1654"/>
      <c r="AQ9" s="1654"/>
      <c r="AR9" s="1654"/>
      <c r="AS9" s="1652"/>
      <c r="AT9" s="1659"/>
      <c r="AU9" s="1660"/>
      <c r="AV9" s="1656"/>
      <c r="AW9" s="1776"/>
      <c r="AX9" s="1776"/>
      <c r="AY9" s="1776"/>
      <c r="AZ9" s="1776"/>
      <c r="BA9" s="1776"/>
      <c r="BB9" s="1776"/>
      <c r="BC9" s="1776"/>
      <c r="BD9" s="1776"/>
      <c r="BE9" s="1779"/>
      <c r="BF9" s="1659"/>
      <c r="BG9" s="1660"/>
      <c r="BH9" s="1656"/>
      <c r="BI9" s="1776"/>
      <c r="BJ9" s="1776"/>
      <c r="BK9" s="1652"/>
      <c r="BL9" s="1659"/>
      <c r="BM9" s="1660"/>
      <c r="BN9" s="1656"/>
      <c r="BO9" s="1653"/>
      <c r="BP9" s="1776"/>
      <c r="BQ9" s="1776"/>
      <c r="BR9" s="1776"/>
      <c r="BS9" s="1776"/>
      <c r="BT9" s="1776"/>
      <c r="BU9" s="1776"/>
      <c r="BV9" s="1776"/>
      <c r="BW9" s="1776"/>
      <c r="BX9" s="1779"/>
      <c r="BY9" s="1576"/>
      <c r="BZ9" s="1661"/>
      <c r="CA9" s="1656"/>
      <c r="CB9" s="1776"/>
      <c r="CC9" s="1776"/>
      <c r="CD9" s="1776"/>
      <c r="CE9" s="1652"/>
      <c r="CF9" s="1576"/>
      <c r="CG9" s="1662"/>
      <c r="CH9" s="801"/>
      <c r="CI9" s="801"/>
      <c r="CJ9" s="801"/>
      <c r="CK9" s="801">
        <v>183</v>
      </c>
      <c r="CL9" s="801"/>
      <c r="CM9" s="1189" t="s">
        <v>1198</v>
      </c>
      <c r="CN9" s="1202"/>
      <c r="CO9" s="1208">
        <f>SUM(C102:D102)</f>
        <v>0</v>
      </c>
      <c r="CP9" s="1212" t="s">
        <v>1198</v>
      </c>
      <c r="CQ9" s="1202"/>
      <c r="CR9" s="1213">
        <f>SUM(V102:W102)</f>
        <v>0</v>
      </c>
      <c r="CS9" s="1191" t="s">
        <v>1173</v>
      </c>
      <c r="CT9" s="1202"/>
      <c r="CU9" s="1207">
        <f>SUM(AJ103:AS103)</f>
        <v>0</v>
      </c>
      <c r="CV9" s="1194" t="s">
        <v>1173</v>
      </c>
      <c r="CW9" s="1202"/>
      <c r="CX9" s="1223">
        <f>SUM(BH103:BK103)</f>
        <v>0</v>
      </c>
      <c r="CY9" s="1230" t="s">
        <v>1173</v>
      </c>
      <c r="CZ9" s="1202"/>
      <c r="DA9" s="1229">
        <f>SUM(BN103:BX103)</f>
        <v>0</v>
      </c>
      <c r="DB9" s="1238" t="s">
        <v>1173</v>
      </c>
      <c r="DC9" s="1202"/>
      <c r="DD9" s="1237">
        <f>SUM(CA103:CE103)</f>
        <v>0</v>
      </c>
      <c r="DE9" s="1815" t="s">
        <v>1173</v>
      </c>
      <c r="DF9" s="1202"/>
      <c r="DG9" s="1814">
        <f>SUM(AV103:BG103)</f>
        <v>0</v>
      </c>
    </row>
    <row r="10" spans="1:111" ht="24" customHeight="1">
      <c r="A10" s="2882" t="str">
        <f>"Antal måneder ansat januar til og med marts"&amp; budgetår&amp;" (Hvis alle skriv 3)"</f>
        <v>Antal måneder ansat januar til og med marts2024 (Hvis alle skriv 3)</v>
      </c>
      <c r="B10" s="2882"/>
      <c r="C10" s="1663"/>
      <c r="D10" s="1662"/>
      <c r="E10" s="1663"/>
      <c r="F10" s="1663"/>
      <c r="G10" s="1663"/>
      <c r="H10" s="1663"/>
      <c r="I10" s="1663"/>
      <c r="J10" s="1663"/>
      <c r="K10" s="1663"/>
      <c r="L10" s="1663"/>
      <c r="M10" s="1663"/>
      <c r="N10" s="1663"/>
      <c r="O10" s="1663"/>
      <c r="P10" s="1663"/>
      <c r="Q10" s="1663"/>
      <c r="R10" s="1663"/>
      <c r="S10" s="1664"/>
      <c r="T10" s="2267"/>
      <c r="U10" s="1660"/>
      <c r="V10" s="1576"/>
      <c r="W10" s="1661"/>
      <c r="X10" s="1663"/>
      <c r="Y10" s="1663"/>
      <c r="Z10" s="1663"/>
      <c r="AA10" s="1663"/>
      <c r="AB10" s="1663"/>
      <c r="AC10" s="1663"/>
      <c r="AD10" s="1663"/>
      <c r="AE10" s="1663"/>
      <c r="AF10" s="1663"/>
      <c r="AG10" s="1661"/>
      <c r="AH10" s="1657"/>
      <c r="AI10" s="1660"/>
      <c r="AJ10" s="1763"/>
      <c r="AK10" s="1764"/>
      <c r="AL10" s="1764"/>
      <c r="AM10" s="1764"/>
      <c r="AN10" s="1764"/>
      <c r="AO10" s="1764"/>
      <c r="AP10" s="1764"/>
      <c r="AQ10" s="1764"/>
      <c r="AR10" s="1764"/>
      <c r="AS10" s="1662"/>
      <c r="AT10" s="1659"/>
      <c r="AU10" s="1660"/>
      <c r="AV10" s="1763"/>
      <c r="AW10" s="1764"/>
      <c r="AX10" s="1764"/>
      <c r="AY10" s="1764"/>
      <c r="AZ10" s="1764"/>
      <c r="BA10" s="1764"/>
      <c r="BB10" s="1764"/>
      <c r="BC10" s="1764"/>
      <c r="BD10" s="1764"/>
      <c r="BE10" s="1764"/>
      <c r="BF10" s="1659"/>
      <c r="BG10" s="1660"/>
      <c r="BH10" s="1791"/>
      <c r="BI10" s="1713"/>
      <c r="BJ10" s="1713"/>
      <c r="BK10" s="1660"/>
      <c r="BL10" s="1659"/>
      <c r="BM10" s="1660"/>
      <c r="BN10" s="1763"/>
      <c r="BO10" s="1764"/>
      <c r="BP10" s="1764"/>
      <c r="BQ10" s="1764"/>
      <c r="BR10" s="1764"/>
      <c r="BS10" s="1764"/>
      <c r="BT10" s="1764"/>
      <c r="BU10" s="1764"/>
      <c r="BV10" s="1764"/>
      <c r="BW10" s="1764"/>
      <c r="BX10" s="1764"/>
      <c r="BY10" s="1576"/>
      <c r="BZ10" s="1661"/>
      <c r="CA10" s="1576"/>
      <c r="CB10" s="1803"/>
      <c r="CC10" s="1803"/>
      <c r="CD10" s="1803"/>
      <c r="CE10" s="1662"/>
      <c r="CF10" s="1576"/>
      <c r="CG10" s="1662"/>
      <c r="CH10" s="801"/>
      <c r="CI10" s="801"/>
      <c r="CJ10" s="801"/>
      <c r="CK10" s="801"/>
      <c r="CL10" s="801"/>
      <c r="CM10" s="1189" t="s">
        <v>1173</v>
      </c>
      <c r="CN10" s="1202"/>
      <c r="CO10" s="1208">
        <f>SUM(C103:D103)</f>
        <v>0</v>
      </c>
      <c r="CP10" s="1212" t="s">
        <v>1173</v>
      </c>
      <c r="CQ10" s="1202"/>
      <c r="CR10" s="1213">
        <f>SUM(V103:W103)</f>
        <v>0</v>
      </c>
      <c r="CS10" s="1191" t="s">
        <v>1217</v>
      </c>
      <c r="CT10" s="1202"/>
      <c r="CU10" s="1207">
        <f>SUM(AJ104:AS104)</f>
        <v>0</v>
      </c>
      <c r="CV10" s="1194" t="s">
        <v>1217</v>
      </c>
      <c r="CW10" s="1202"/>
      <c r="CX10" s="1223">
        <f>SUM(BH104:BK104)</f>
        <v>0</v>
      </c>
      <c r="CY10" s="1230" t="s">
        <v>1217</v>
      </c>
      <c r="CZ10" s="1202"/>
      <c r="DA10" s="1229">
        <f>SUM(BN104:BX104)</f>
        <v>0</v>
      </c>
      <c r="DB10" s="1238" t="s">
        <v>1217</v>
      </c>
      <c r="DC10" s="1202"/>
      <c r="DD10" s="1237">
        <f>SUM(CA104:CE104)</f>
        <v>0</v>
      </c>
      <c r="DE10" s="1815" t="s">
        <v>1217</v>
      </c>
      <c r="DF10" s="1202"/>
      <c r="DG10" s="1814">
        <f>SUM(AV104:BG104)</f>
        <v>0</v>
      </c>
    </row>
    <row r="11" spans="1:111" ht="24" customHeight="1">
      <c r="A11" s="2228" t="str">
        <f>"Antal måneder ansat april til og med juli "&amp;budgetår&amp;" (Hvis alle skriv 4)"</f>
        <v>Antal måneder ansat april til og med juli 2024 (Hvis alle skriv 4)</v>
      </c>
      <c r="B11" s="2228"/>
      <c r="C11" s="1666"/>
      <c r="D11" s="1665"/>
      <c r="E11" s="1666"/>
      <c r="F11" s="1666"/>
      <c r="G11" s="1666"/>
      <c r="H11" s="1666"/>
      <c r="I11" s="1666"/>
      <c r="J11" s="1666"/>
      <c r="K11" s="1666"/>
      <c r="L11" s="1666"/>
      <c r="M11" s="1666"/>
      <c r="N11" s="1666"/>
      <c r="O11" s="1666"/>
      <c r="P11" s="1666"/>
      <c r="Q11" s="1666"/>
      <c r="R11" s="1666"/>
      <c r="S11" s="1667"/>
      <c r="T11" s="2268"/>
      <c r="U11" s="1754"/>
      <c r="V11" s="1670"/>
      <c r="W11" s="1668"/>
      <c r="X11" s="1666"/>
      <c r="Y11" s="1666"/>
      <c r="Z11" s="1666"/>
      <c r="AA11" s="1666"/>
      <c r="AB11" s="1666"/>
      <c r="AC11" s="1666"/>
      <c r="AD11" s="1666"/>
      <c r="AE11" s="1666"/>
      <c r="AF11" s="1666"/>
      <c r="AG11" s="1668"/>
      <c r="AH11" s="1657"/>
      <c r="AI11" s="1762"/>
      <c r="AJ11" s="1765"/>
      <c r="AK11" s="1669"/>
      <c r="AL11" s="1669"/>
      <c r="AM11" s="1669"/>
      <c r="AN11" s="1669"/>
      <c r="AO11" s="1669"/>
      <c r="AP11" s="1669"/>
      <c r="AQ11" s="1669"/>
      <c r="AR11" s="1669"/>
      <c r="AS11" s="1766"/>
      <c r="AT11" s="1657"/>
      <c r="AU11" s="1754"/>
      <c r="AV11" s="1765"/>
      <c r="AW11" s="1669"/>
      <c r="AX11" s="1669"/>
      <c r="AY11" s="1669"/>
      <c r="AZ11" s="1669"/>
      <c r="BA11" s="1669"/>
      <c r="BB11" s="1669"/>
      <c r="BC11" s="1669"/>
      <c r="BD11" s="1669"/>
      <c r="BE11" s="1669"/>
      <c r="BF11" s="1657"/>
      <c r="BG11" s="1754"/>
      <c r="BH11" s="1792"/>
      <c r="BI11" s="1713"/>
      <c r="BJ11" s="1713"/>
      <c r="BK11" s="1754"/>
      <c r="BL11" s="1657"/>
      <c r="BM11" s="1754"/>
      <c r="BN11" s="1765"/>
      <c r="BO11" s="1669"/>
      <c r="BP11" s="1669"/>
      <c r="BQ11" s="1669"/>
      <c r="BR11" s="1669"/>
      <c r="BS11" s="1669"/>
      <c r="BT11" s="1669"/>
      <c r="BU11" s="1669"/>
      <c r="BV11" s="1669"/>
      <c r="BW11" s="1669"/>
      <c r="BX11" s="1669"/>
      <c r="BY11" s="1670"/>
      <c r="BZ11" s="1668"/>
      <c r="CA11" s="1670"/>
      <c r="CB11" s="1804"/>
      <c r="CC11" s="1804"/>
      <c r="CD11" s="1804"/>
      <c r="CE11" s="1766"/>
      <c r="CF11" s="1670"/>
      <c r="CG11" s="1766"/>
      <c r="CH11" s="801"/>
      <c r="CI11" s="801"/>
      <c r="CJ11" s="801"/>
      <c r="CK11" s="801"/>
      <c r="CL11" s="801"/>
      <c r="CM11" s="1260" t="s">
        <v>1249</v>
      </c>
      <c r="CN11" s="1259"/>
      <c r="CO11" s="1261">
        <f>SUM(C100:U100)</f>
        <v>0</v>
      </c>
      <c r="CP11" s="1262" t="s">
        <v>1249</v>
      </c>
      <c r="CQ11" s="1259"/>
      <c r="CR11" s="1263">
        <f>SUM(V100:AI100)</f>
        <v>0</v>
      </c>
      <c r="CS11" s="1258" t="s">
        <v>1249</v>
      </c>
      <c r="CT11" s="1259"/>
      <c r="CU11" s="1264">
        <f>SUM(AJ100:AU100)</f>
        <v>0</v>
      </c>
      <c r="CV11" s="1265"/>
      <c r="CW11" s="1259"/>
      <c r="CX11" s="1266"/>
      <c r="CY11" s="1267" t="s">
        <v>1250</v>
      </c>
      <c r="CZ11" s="1259"/>
      <c r="DA11" s="1268">
        <f>SUM(BN100:BZ100)</f>
        <v>0</v>
      </c>
      <c r="DB11" s="1269" t="s">
        <v>1250</v>
      </c>
      <c r="DC11" s="1259"/>
      <c r="DD11" s="1270">
        <f>SUM(CA100:CG100)</f>
        <v>0</v>
      </c>
      <c r="DE11" s="1816" t="s">
        <v>1250</v>
      </c>
      <c r="DF11" s="1259"/>
      <c r="DG11" s="1817">
        <f>SUM(AV100:BG100)</f>
        <v>0</v>
      </c>
    </row>
    <row r="12" spans="1:111" ht="24" customHeight="1" thickBot="1">
      <c r="A12" s="2882" t="str">
        <f>"Ansat antal måneder august til december "&amp;budgetår&amp;" (Hvis alle skriv 5)"</f>
        <v>Ansat antal måneder august til december 2024 (Hvis alle skriv 5)</v>
      </c>
      <c r="B12" s="2882"/>
      <c r="C12" s="1749"/>
      <c r="D12" s="1671"/>
      <c r="E12" s="1672"/>
      <c r="F12" s="1672"/>
      <c r="G12" s="1672"/>
      <c r="H12" s="1672"/>
      <c r="I12" s="1672"/>
      <c r="J12" s="1672"/>
      <c r="K12" s="1672"/>
      <c r="L12" s="1672"/>
      <c r="M12" s="1672"/>
      <c r="N12" s="1672"/>
      <c r="O12" s="1672"/>
      <c r="P12" s="1672"/>
      <c r="Q12" s="1672"/>
      <c r="R12" s="1672"/>
      <c r="S12" s="1673"/>
      <c r="T12" s="2269"/>
      <c r="U12" s="1677"/>
      <c r="V12" s="1679"/>
      <c r="W12" s="1680"/>
      <c r="X12" s="1749"/>
      <c r="Y12" s="1749"/>
      <c r="Z12" s="1749"/>
      <c r="AA12" s="1749"/>
      <c r="AB12" s="1749"/>
      <c r="AC12" s="1749"/>
      <c r="AD12" s="1749"/>
      <c r="AE12" s="1749"/>
      <c r="AF12" s="1749"/>
      <c r="AG12" s="1680"/>
      <c r="AH12" s="1674"/>
      <c r="AI12" s="1675"/>
      <c r="AJ12" s="1767"/>
      <c r="AK12" s="1678"/>
      <c r="AL12" s="1678"/>
      <c r="AM12" s="1678"/>
      <c r="AN12" s="1678"/>
      <c r="AO12" s="1678"/>
      <c r="AP12" s="1678"/>
      <c r="AQ12" s="1678"/>
      <c r="AR12" s="1678"/>
      <c r="AS12" s="1768"/>
      <c r="AT12" s="1676"/>
      <c r="AU12" s="1677"/>
      <c r="AV12" s="1767"/>
      <c r="AW12" s="1678"/>
      <c r="AX12" s="1678"/>
      <c r="AY12" s="1678"/>
      <c r="AZ12" s="1678"/>
      <c r="BA12" s="1678"/>
      <c r="BB12" s="1678"/>
      <c r="BC12" s="1678"/>
      <c r="BD12" s="1678"/>
      <c r="BE12" s="1678"/>
      <c r="BF12" s="1676"/>
      <c r="BG12" s="1677"/>
      <c r="BH12" s="1793"/>
      <c r="BI12" s="1794"/>
      <c r="BJ12" s="1794"/>
      <c r="BK12" s="1677"/>
      <c r="BL12" s="1676"/>
      <c r="BM12" s="1677"/>
      <c r="BN12" s="1767"/>
      <c r="BO12" s="1678"/>
      <c r="BP12" s="1678"/>
      <c r="BQ12" s="1678"/>
      <c r="BR12" s="1678"/>
      <c r="BS12" s="1678"/>
      <c r="BT12" s="1678"/>
      <c r="BU12" s="1678"/>
      <c r="BV12" s="1678"/>
      <c r="BW12" s="1678"/>
      <c r="BX12" s="1678"/>
      <c r="BY12" s="1679"/>
      <c r="BZ12" s="1680"/>
      <c r="CA12" s="1679"/>
      <c r="CB12" s="1805"/>
      <c r="CC12" s="1805"/>
      <c r="CD12" s="1805"/>
      <c r="CE12" s="1768"/>
      <c r="CF12" s="1679"/>
      <c r="CG12" s="1768"/>
      <c r="CH12" s="801"/>
      <c r="CI12" s="801"/>
      <c r="CJ12" s="801" t="s">
        <v>828</v>
      </c>
      <c r="CK12" s="801"/>
      <c r="CL12" s="801"/>
      <c r="CM12" s="1189" t="s">
        <v>1217</v>
      </c>
      <c r="CN12" s="1202"/>
      <c r="CO12" s="1208">
        <f>SUM(C104:D104)</f>
        <v>0</v>
      </c>
      <c r="CP12" s="1212" t="s">
        <v>1217</v>
      </c>
      <c r="CQ12" s="1202"/>
      <c r="CR12" s="1213">
        <f>SUM(V104:W104)</f>
        <v>0</v>
      </c>
      <c r="CS12" s="1191" t="s">
        <v>1215</v>
      </c>
      <c r="CT12" s="1202"/>
      <c r="CU12" s="1207">
        <f>SUM(AJ105:AS105)</f>
        <v>0</v>
      </c>
      <c r="CV12" s="1194" t="s">
        <v>1215</v>
      </c>
      <c r="CW12" s="1202"/>
      <c r="CX12" s="1223">
        <f>SUM(BH105:BK105)</f>
        <v>0</v>
      </c>
      <c r="CY12" s="1230" t="s">
        <v>1215</v>
      </c>
      <c r="CZ12" s="1202"/>
      <c r="DA12" s="1229">
        <f>SUM(BN105:BX105)</f>
        <v>0</v>
      </c>
      <c r="DB12" s="1238" t="s">
        <v>1215</v>
      </c>
      <c r="DC12" s="1202"/>
      <c r="DD12" s="1237">
        <f>SUM(CA105:CE105)</f>
        <v>0</v>
      </c>
      <c r="DE12" s="1815" t="s">
        <v>1215</v>
      </c>
      <c r="DF12" s="1202"/>
      <c r="DG12" s="1814">
        <f>SUM(AV105:BG105)</f>
        <v>0</v>
      </c>
    </row>
    <row r="13" spans="1:111" ht="24" customHeight="1" thickBot="1">
      <c r="A13" s="2882" t="s">
        <v>343</v>
      </c>
      <c r="B13" s="2882"/>
      <c r="C13" s="2217">
        <f>+C10+C12+C11</f>
        <v>0</v>
      </c>
      <c r="D13" s="1703">
        <f>+D10+D12+D11</f>
        <v>0</v>
      </c>
      <c r="E13" s="1702">
        <f t="shared" ref="E13:CG13" si="0">+E10+E12+E11</f>
        <v>0</v>
      </c>
      <c r="F13" s="1704">
        <f t="shared" si="0"/>
        <v>0</v>
      </c>
      <c r="G13" s="1704">
        <f t="shared" ref="G13" si="1">+G10+G12+G11</f>
        <v>0</v>
      </c>
      <c r="H13" s="1704">
        <f t="shared" si="0"/>
        <v>0</v>
      </c>
      <c r="I13" s="1704">
        <f t="shared" si="0"/>
        <v>0</v>
      </c>
      <c r="J13" s="1704">
        <f t="shared" ref="J13" si="2">+J10+J12+J11</f>
        <v>0</v>
      </c>
      <c r="K13" s="1704">
        <f t="shared" si="0"/>
        <v>0</v>
      </c>
      <c r="L13" s="1704">
        <f t="shared" si="0"/>
        <v>0</v>
      </c>
      <c r="M13" s="1704">
        <f t="shared" si="0"/>
        <v>0</v>
      </c>
      <c r="N13" s="1704">
        <f t="shared" si="0"/>
        <v>0</v>
      </c>
      <c r="O13" s="1704">
        <f t="shared" si="0"/>
        <v>0</v>
      </c>
      <c r="P13" s="1704">
        <f t="shared" si="0"/>
        <v>0</v>
      </c>
      <c r="Q13" s="1704">
        <f t="shared" si="0"/>
        <v>0</v>
      </c>
      <c r="R13" s="1704">
        <f t="shared" si="0"/>
        <v>0</v>
      </c>
      <c r="S13" s="1705">
        <f t="shared" si="0"/>
        <v>0</v>
      </c>
      <c r="T13" s="1702">
        <f t="shared" si="0"/>
        <v>0</v>
      </c>
      <c r="U13" s="1706">
        <f t="shared" si="0"/>
        <v>0</v>
      </c>
      <c r="V13" s="1702">
        <f t="shared" si="0"/>
        <v>0</v>
      </c>
      <c r="W13" s="1706">
        <f t="shared" si="0"/>
        <v>0</v>
      </c>
      <c r="X13" s="1707">
        <f t="shared" si="0"/>
        <v>0</v>
      </c>
      <c r="Y13" s="1704">
        <f t="shared" si="0"/>
        <v>0</v>
      </c>
      <c r="Z13" s="1704">
        <f t="shared" si="0"/>
        <v>0</v>
      </c>
      <c r="AA13" s="1704">
        <f t="shared" si="0"/>
        <v>0</v>
      </c>
      <c r="AB13" s="1704">
        <f t="shared" si="0"/>
        <v>0</v>
      </c>
      <c r="AC13" s="1704">
        <f t="shared" si="0"/>
        <v>0</v>
      </c>
      <c r="AD13" s="1704">
        <f t="shared" si="0"/>
        <v>0</v>
      </c>
      <c r="AE13" s="1704">
        <f t="shared" si="0"/>
        <v>0</v>
      </c>
      <c r="AF13" s="1704">
        <f t="shared" si="0"/>
        <v>0</v>
      </c>
      <c r="AG13" s="1708">
        <f t="shared" si="0"/>
        <v>0</v>
      </c>
      <c r="AH13" s="1702">
        <f t="shared" si="0"/>
        <v>0</v>
      </c>
      <c r="AI13" s="1706">
        <f t="shared" si="0"/>
        <v>0</v>
      </c>
      <c r="AJ13" s="1769">
        <f t="shared" si="0"/>
        <v>0</v>
      </c>
      <c r="AK13" s="1704">
        <f t="shared" si="0"/>
        <v>0</v>
      </c>
      <c r="AL13" s="1704">
        <f t="shared" si="0"/>
        <v>0</v>
      </c>
      <c r="AM13" s="1704">
        <f t="shared" si="0"/>
        <v>0</v>
      </c>
      <c r="AN13" s="1704">
        <f t="shared" si="0"/>
        <v>0</v>
      </c>
      <c r="AO13" s="1704">
        <f t="shared" si="0"/>
        <v>0</v>
      </c>
      <c r="AP13" s="1704">
        <f t="shared" si="0"/>
        <v>0</v>
      </c>
      <c r="AQ13" s="1704">
        <f t="shared" si="0"/>
        <v>0</v>
      </c>
      <c r="AR13" s="1704">
        <f t="shared" si="0"/>
        <v>0</v>
      </c>
      <c r="AS13" s="1708">
        <f t="shared" si="0"/>
        <v>0</v>
      </c>
      <c r="AT13" s="1702">
        <f t="shared" si="0"/>
        <v>0</v>
      </c>
      <c r="AU13" s="1708">
        <f t="shared" si="0"/>
        <v>0</v>
      </c>
      <c r="AV13" s="1769">
        <f t="shared" ref="AV13:BG13" si="3">+AV10+AV12+AV11</f>
        <v>0</v>
      </c>
      <c r="AW13" s="1704">
        <f t="shared" si="3"/>
        <v>0</v>
      </c>
      <c r="AX13" s="1704">
        <f t="shared" si="3"/>
        <v>0</v>
      </c>
      <c r="AY13" s="1704">
        <f t="shared" si="3"/>
        <v>0</v>
      </c>
      <c r="AZ13" s="1704">
        <f t="shared" si="3"/>
        <v>0</v>
      </c>
      <c r="BA13" s="1704">
        <f t="shared" si="3"/>
        <v>0</v>
      </c>
      <c r="BB13" s="1704">
        <f t="shared" si="3"/>
        <v>0</v>
      </c>
      <c r="BC13" s="1704">
        <f t="shared" si="3"/>
        <v>0</v>
      </c>
      <c r="BD13" s="1704">
        <f t="shared" si="3"/>
        <v>0</v>
      </c>
      <c r="BE13" s="1707">
        <f t="shared" si="3"/>
        <v>0</v>
      </c>
      <c r="BF13" s="1702">
        <f t="shared" si="3"/>
        <v>0</v>
      </c>
      <c r="BG13" s="1708">
        <f t="shared" si="3"/>
        <v>0</v>
      </c>
      <c r="BH13" s="1769">
        <f t="shared" si="0"/>
        <v>0</v>
      </c>
      <c r="BI13" s="1704">
        <f t="shared" si="0"/>
        <v>0</v>
      </c>
      <c r="BJ13" s="1704">
        <f t="shared" si="0"/>
        <v>0</v>
      </c>
      <c r="BK13" s="1708">
        <f t="shared" si="0"/>
        <v>0</v>
      </c>
      <c r="BL13" s="1702">
        <f t="shared" si="0"/>
        <v>0</v>
      </c>
      <c r="BM13" s="1708">
        <f t="shared" si="0"/>
        <v>0</v>
      </c>
      <c r="BN13" s="1702">
        <f t="shared" si="0"/>
        <v>0</v>
      </c>
      <c r="BO13" s="1707">
        <f t="shared" ref="BO13" si="4">+BO10+BO12+BO11</f>
        <v>0</v>
      </c>
      <c r="BP13" s="1704">
        <f t="shared" si="0"/>
        <v>0</v>
      </c>
      <c r="BQ13" s="1704">
        <f t="shared" ref="BQ13" si="5">+BQ10+BQ12+BQ11</f>
        <v>0</v>
      </c>
      <c r="BR13" s="1704">
        <f t="shared" si="0"/>
        <v>0</v>
      </c>
      <c r="BS13" s="1704">
        <f t="shared" ref="BS13" si="6">+BS10+BS12+BS11</f>
        <v>0</v>
      </c>
      <c r="BT13" s="1704">
        <f t="shared" si="0"/>
        <v>0</v>
      </c>
      <c r="BU13" s="1704">
        <f t="shared" ref="BU13" si="7">+BU10+BU12+BU11</f>
        <v>0</v>
      </c>
      <c r="BV13" s="1704">
        <f t="shared" si="0"/>
        <v>0</v>
      </c>
      <c r="BW13" s="1704">
        <f t="shared" si="0"/>
        <v>0</v>
      </c>
      <c r="BX13" s="1707">
        <f>+BX10+BX12+BX11</f>
        <v>0</v>
      </c>
      <c r="BY13" s="1702">
        <f t="shared" si="0"/>
        <v>0</v>
      </c>
      <c r="BZ13" s="1708">
        <f t="shared" si="0"/>
        <v>0</v>
      </c>
      <c r="CA13" s="1769">
        <f t="shared" si="0"/>
        <v>0</v>
      </c>
      <c r="CB13" s="1704">
        <f t="shared" si="0"/>
        <v>0</v>
      </c>
      <c r="CC13" s="1704">
        <f t="shared" si="0"/>
        <v>0</v>
      </c>
      <c r="CD13" s="1704">
        <f t="shared" si="0"/>
        <v>0</v>
      </c>
      <c r="CE13" s="1708">
        <f t="shared" si="0"/>
        <v>0</v>
      </c>
      <c r="CF13" s="1702">
        <f t="shared" si="0"/>
        <v>0</v>
      </c>
      <c r="CG13" s="1708">
        <f t="shared" si="0"/>
        <v>0</v>
      </c>
      <c r="CH13" s="801"/>
      <c r="CI13" s="801"/>
      <c r="CJ13" s="801" t="s">
        <v>827</v>
      </c>
      <c r="CK13" s="801"/>
      <c r="CL13" s="801"/>
      <c r="CM13" s="1189" t="s">
        <v>1215</v>
      </c>
      <c r="CN13" s="1202"/>
      <c r="CO13" s="1208">
        <f>SUM(C105:D105)</f>
        <v>0</v>
      </c>
      <c r="CP13" s="1212" t="s">
        <v>1215</v>
      </c>
      <c r="CQ13" s="1202"/>
      <c r="CR13" s="1213">
        <f>SUM(V105:W105)</f>
        <v>0</v>
      </c>
      <c r="CS13" s="2887" t="s">
        <v>1234</v>
      </c>
      <c r="CT13" s="2888"/>
      <c r="CU13" s="1207"/>
      <c r="CV13" s="2838" t="s">
        <v>1231</v>
      </c>
      <c r="CW13" s="2839"/>
      <c r="CX13" s="1223"/>
      <c r="CY13" s="2889" t="s">
        <v>1230</v>
      </c>
      <c r="CZ13" s="2890"/>
      <c r="DA13" s="1229"/>
      <c r="DB13" s="2883" t="s">
        <v>1354</v>
      </c>
      <c r="DC13" s="2884"/>
      <c r="DD13" s="1237"/>
      <c r="DE13" s="2891" t="s">
        <v>1355</v>
      </c>
      <c r="DF13" s="2892"/>
      <c r="DG13" s="1814"/>
    </row>
    <row r="14" spans="1:111" ht="24" customHeight="1" thickBot="1">
      <c r="A14" s="2882" t="str">
        <f>'lon undervisning'!A10</f>
        <v>Antal måneder ansat i 2025</v>
      </c>
      <c r="B14" s="2882"/>
      <c r="C14" s="1736"/>
      <c r="D14" s="1711"/>
      <c r="E14" s="1709"/>
      <c r="F14" s="1710"/>
      <c r="G14" s="1710"/>
      <c r="H14" s="1710"/>
      <c r="I14" s="1710"/>
      <c r="J14" s="1710"/>
      <c r="K14" s="1710"/>
      <c r="L14" s="1710"/>
      <c r="M14" s="1710"/>
      <c r="N14" s="1710"/>
      <c r="O14" s="1710"/>
      <c r="P14" s="1710"/>
      <c r="Q14" s="1710"/>
      <c r="R14" s="1710"/>
      <c r="S14" s="1711"/>
      <c r="T14" s="1709"/>
      <c r="U14" s="1711"/>
      <c r="V14" s="1709"/>
      <c r="W14" s="1711"/>
      <c r="X14" s="1736"/>
      <c r="Y14" s="1710"/>
      <c r="Z14" s="1710"/>
      <c r="AA14" s="1710"/>
      <c r="AB14" s="1710"/>
      <c r="AC14" s="1710"/>
      <c r="AD14" s="1710"/>
      <c r="AE14" s="1710"/>
      <c r="AF14" s="1710"/>
      <c r="AG14" s="1711"/>
      <c r="AH14" s="1709"/>
      <c r="AI14" s="1711"/>
      <c r="AJ14" s="1709"/>
      <c r="AK14" s="1710"/>
      <c r="AL14" s="1710"/>
      <c r="AM14" s="1710"/>
      <c r="AN14" s="1710"/>
      <c r="AO14" s="1710"/>
      <c r="AP14" s="1710"/>
      <c r="AQ14" s="1710"/>
      <c r="AR14" s="1710"/>
      <c r="AS14" s="1711"/>
      <c r="AT14" s="1709"/>
      <c r="AU14" s="1711"/>
      <c r="AV14" s="1709"/>
      <c r="AW14" s="1710"/>
      <c r="AX14" s="1710"/>
      <c r="AY14" s="1710"/>
      <c r="AZ14" s="1710"/>
      <c r="BA14" s="1710"/>
      <c r="BB14" s="1710"/>
      <c r="BC14" s="1710"/>
      <c r="BD14" s="1710"/>
      <c r="BE14" s="1780"/>
      <c r="BF14" s="2386"/>
      <c r="BG14" s="2387"/>
      <c r="BH14" s="1709"/>
      <c r="BI14" s="1710"/>
      <c r="BJ14" s="1710"/>
      <c r="BK14" s="1711"/>
      <c r="BL14" s="2386"/>
      <c r="BM14" s="2387"/>
      <c r="BN14" s="1709"/>
      <c r="BO14" s="1710"/>
      <c r="BP14" s="1710"/>
      <c r="BQ14" s="1710"/>
      <c r="BR14" s="1710"/>
      <c r="BS14" s="1710"/>
      <c r="BT14" s="1710"/>
      <c r="BU14" s="1710"/>
      <c r="BV14" s="1710"/>
      <c r="BW14" s="1710"/>
      <c r="BX14" s="1780"/>
      <c r="BY14" s="2386"/>
      <c r="BZ14" s="2387"/>
      <c r="CA14" s="1709"/>
      <c r="CB14" s="1710"/>
      <c r="CC14" s="1710"/>
      <c r="CD14" s="1710"/>
      <c r="CE14" s="1711"/>
      <c r="CF14" s="2386"/>
      <c r="CG14" s="2387"/>
      <c r="CH14" s="801"/>
      <c r="CI14" s="801"/>
      <c r="CJ14" s="801"/>
      <c r="CK14" s="801"/>
      <c r="CL14" s="801"/>
      <c r="CM14" s="1205" t="s">
        <v>1223</v>
      </c>
      <c r="CN14" s="2314"/>
      <c r="CO14" s="1208">
        <f>SUM(E97:S97)</f>
        <v>0</v>
      </c>
      <c r="CP14" s="1214" t="s">
        <v>1223</v>
      </c>
      <c r="CQ14" s="2314"/>
      <c r="CR14" s="1213">
        <f>SUM(X97:AG97)</f>
        <v>0</v>
      </c>
      <c r="CS14" s="1191" t="s">
        <v>1096</v>
      </c>
      <c r="CT14" s="1202"/>
      <c r="CU14" s="1207">
        <f>SUM(AJ106:AU106)</f>
        <v>0</v>
      </c>
      <c r="CV14" s="1194" t="s">
        <v>1096</v>
      </c>
      <c r="CW14" s="1202"/>
      <c r="CX14" s="1223">
        <f>SUM(BH106:BM106)</f>
        <v>0</v>
      </c>
      <c r="CY14" s="1230" t="s">
        <v>1096</v>
      </c>
      <c r="CZ14" s="1202"/>
      <c r="DA14" s="1229">
        <f>SUM(BN106:BZ106)</f>
        <v>0</v>
      </c>
      <c r="DB14" s="1238" t="s">
        <v>1096</v>
      </c>
      <c r="DC14" s="1202"/>
      <c r="DD14" s="1237">
        <f>SUM(CA106:CG106)</f>
        <v>0</v>
      </c>
      <c r="DE14" s="1815" t="s">
        <v>1096</v>
      </c>
      <c r="DF14" s="1202"/>
      <c r="DG14" s="1814">
        <f>SUM(AV106:BG106)</f>
        <v>0</v>
      </c>
    </row>
    <row r="15" spans="1:111" ht="24" customHeight="1" thickBot="1">
      <c r="A15" s="2898" t="s">
        <v>1420</v>
      </c>
      <c r="B15" s="2835"/>
      <c r="C15" s="2216" t="s">
        <v>1331</v>
      </c>
      <c r="D15" s="2385" t="s">
        <v>1331</v>
      </c>
      <c r="E15" s="2216" t="s">
        <v>1331</v>
      </c>
      <c r="F15" s="2216" t="s">
        <v>1331</v>
      </c>
      <c r="G15" s="2216" t="s">
        <v>1331</v>
      </c>
      <c r="H15" s="2216" t="s">
        <v>1331</v>
      </c>
      <c r="I15" s="2216" t="s">
        <v>1331</v>
      </c>
      <c r="J15" s="2216" t="s">
        <v>1331</v>
      </c>
      <c r="K15" s="2216" t="s">
        <v>1331</v>
      </c>
      <c r="L15" s="2216" t="s">
        <v>1331</v>
      </c>
      <c r="M15" s="2216" t="s">
        <v>1331</v>
      </c>
      <c r="N15" s="2216" t="s">
        <v>1331</v>
      </c>
      <c r="O15" s="2216" t="s">
        <v>1331</v>
      </c>
      <c r="P15" s="2216" t="s">
        <v>1331</v>
      </c>
      <c r="Q15" s="2216" t="s">
        <v>1331</v>
      </c>
      <c r="R15" s="2216" t="s">
        <v>1331</v>
      </c>
      <c r="S15" s="2216" t="s">
        <v>1331</v>
      </c>
      <c r="T15" s="1683"/>
      <c r="U15" s="1719"/>
      <c r="V15" s="2216" t="s">
        <v>1331</v>
      </c>
      <c r="W15" s="2385" t="s">
        <v>1331</v>
      </c>
      <c r="X15" s="2216" t="s">
        <v>1331</v>
      </c>
      <c r="Y15" s="2216" t="s">
        <v>1331</v>
      </c>
      <c r="Z15" s="2216" t="s">
        <v>1331</v>
      </c>
      <c r="AA15" s="2216" t="s">
        <v>1331</v>
      </c>
      <c r="AB15" s="2216" t="s">
        <v>1331</v>
      </c>
      <c r="AC15" s="2216" t="s">
        <v>1331</v>
      </c>
      <c r="AD15" s="2216" t="s">
        <v>1331</v>
      </c>
      <c r="AE15" s="2216" t="s">
        <v>1331</v>
      </c>
      <c r="AF15" s="2216" t="s">
        <v>1331</v>
      </c>
      <c r="AG15" s="2216" t="s">
        <v>1331</v>
      </c>
      <c r="AH15" s="1683"/>
      <c r="AI15" s="1719"/>
      <c r="AJ15" s="2216" t="s">
        <v>1331</v>
      </c>
      <c r="AK15" s="2216" t="s">
        <v>1331</v>
      </c>
      <c r="AL15" s="2216" t="s">
        <v>1331</v>
      </c>
      <c r="AM15" s="2216" t="s">
        <v>1331</v>
      </c>
      <c r="AN15" s="2216" t="s">
        <v>1331</v>
      </c>
      <c r="AO15" s="2216" t="s">
        <v>1331</v>
      </c>
      <c r="AP15" s="2216" t="s">
        <v>1331</v>
      </c>
      <c r="AQ15" s="2216" t="s">
        <v>1331</v>
      </c>
      <c r="AR15" s="2216" t="s">
        <v>1331</v>
      </c>
      <c r="AS15" s="2216" t="s">
        <v>1331</v>
      </c>
      <c r="AT15" s="1683"/>
      <c r="AU15" s="1719"/>
      <c r="AV15" s="2216" t="s">
        <v>1331</v>
      </c>
      <c r="AW15" s="2216" t="s">
        <v>1331</v>
      </c>
      <c r="AX15" s="2216" t="s">
        <v>1331</v>
      </c>
      <c r="AY15" s="2216" t="s">
        <v>1331</v>
      </c>
      <c r="AZ15" s="2216" t="s">
        <v>1331</v>
      </c>
      <c r="BA15" s="2216" t="s">
        <v>1331</v>
      </c>
      <c r="BB15" s="2216" t="s">
        <v>1331</v>
      </c>
      <c r="BC15" s="2216" t="s">
        <v>1331</v>
      </c>
      <c r="BD15" s="2216" t="s">
        <v>1331</v>
      </c>
      <c r="BE15" s="2216" t="s">
        <v>1331</v>
      </c>
      <c r="BF15" s="2388"/>
      <c r="BG15" s="2389"/>
      <c r="BH15" s="2216" t="s">
        <v>1331</v>
      </c>
      <c r="BI15" s="2216" t="s">
        <v>1331</v>
      </c>
      <c r="BJ15" s="2216" t="s">
        <v>1331</v>
      </c>
      <c r="BK15" s="2216" t="s">
        <v>1331</v>
      </c>
      <c r="BL15" s="2388"/>
      <c r="BM15" s="2389"/>
      <c r="BN15" s="2216" t="s">
        <v>1331</v>
      </c>
      <c r="BO15" s="2216" t="s">
        <v>1331</v>
      </c>
      <c r="BP15" s="2216" t="s">
        <v>1331</v>
      </c>
      <c r="BQ15" s="2216" t="s">
        <v>1331</v>
      </c>
      <c r="BR15" s="2216" t="s">
        <v>1331</v>
      </c>
      <c r="BS15" s="2216" t="s">
        <v>1331</v>
      </c>
      <c r="BT15" s="2216" t="s">
        <v>1331</v>
      </c>
      <c r="BU15" s="2216" t="s">
        <v>1331</v>
      </c>
      <c r="BV15" s="2216" t="s">
        <v>1331</v>
      </c>
      <c r="BW15" s="2216" t="s">
        <v>1331</v>
      </c>
      <c r="BX15" s="2216" t="s">
        <v>1331</v>
      </c>
      <c r="BY15" s="2388"/>
      <c r="BZ15" s="2389"/>
      <c r="CA15" s="2216" t="s">
        <v>1331</v>
      </c>
      <c r="CB15" s="2216" t="s">
        <v>1331</v>
      </c>
      <c r="CC15" s="2216" t="s">
        <v>1331</v>
      </c>
      <c r="CD15" s="2216" t="s">
        <v>1331</v>
      </c>
      <c r="CE15" s="2216" t="s">
        <v>1331</v>
      </c>
      <c r="CF15" s="2388"/>
      <c r="CG15" s="2389"/>
      <c r="CH15" s="801"/>
      <c r="CI15" s="801"/>
      <c r="CJ15" s="801"/>
      <c r="CK15" s="801"/>
      <c r="CL15" s="801"/>
      <c r="CM15" s="2371"/>
      <c r="CN15" s="2372"/>
      <c r="CO15" s="2373"/>
      <c r="CP15" s="2374"/>
      <c r="CQ15" s="2372"/>
      <c r="CR15" s="2375"/>
      <c r="CS15" s="2365" t="str">
        <f>CP17</f>
        <v>St. Bededagstillæg</v>
      </c>
      <c r="CT15" s="2351"/>
      <c r="CU15" s="2376"/>
      <c r="CV15" s="2377" t="str">
        <f>CS15</f>
        <v>St. Bededagstillæg</v>
      </c>
      <c r="CW15" s="2351"/>
      <c r="CX15" s="2378">
        <f>SUM(BH107:BM107)</f>
        <v>0</v>
      </c>
      <c r="CY15" s="2379" t="str">
        <f>CV15</f>
        <v>St. Bededagstillæg</v>
      </c>
      <c r="CZ15" s="2351"/>
      <c r="DA15" s="2380">
        <f>SUM(BN107:BZ107)</f>
        <v>0</v>
      </c>
      <c r="DB15" s="2381" t="str">
        <f>CY15</f>
        <v>St. Bededagstillæg</v>
      </c>
      <c r="DC15" s="2351"/>
      <c r="DD15" s="2382">
        <f>SUM(CA107:CG107)</f>
        <v>0</v>
      </c>
      <c r="DE15" s="2383" t="str">
        <f>DB15</f>
        <v>St. Bededagstillæg</v>
      </c>
      <c r="DF15" s="2351"/>
      <c r="DG15" s="2384">
        <f>SUM(AV107:BG107)</f>
        <v>0</v>
      </c>
    </row>
    <row r="16" spans="1:111" ht="27" customHeight="1">
      <c r="A16" s="2881" t="s">
        <v>1349</v>
      </c>
      <c r="B16" s="2881"/>
      <c r="C16" s="2216" t="s">
        <v>828</v>
      </c>
      <c r="D16" s="1712" t="s">
        <v>828</v>
      </c>
      <c r="E16" s="1658" t="s">
        <v>828</v>
      </c>
      <c r="F16" s="1511" t="s">
        <v>828</v>
      </c>
      <c r="G16" s="1511" t="s">
        <v>828</v>
      </c>
      <c r="H16" s="1511" t="s">
        <v>828</v>
      </c>
      <c r="I16" s="1511" t="s">
        <v>828</v>
      </c>
      <c r="J16" s="1511" t="s">
        <v>828</v>
      </c>
      <c r="K16" s="1511" t="s">
        <v>828</v>
      </c>
      <c r="L16" s="1511" t="s">
        <v>828</v>
      </c>
      <c r="M16" s="1511" t="s">
        <v>828</v>
      </c>
      <c r="N16" s="1511" t="s">
        <v>828</v>
      </c>
      <c r="O16" s="1511" t="s">
        <v>828</v>
      </c>
      <c r="P16" s="1511" t="s">
        <v>828</v>
      </c>
      <c r="Q16" s="1511" t="s">
        <v>828</v>
      </c>
      <c r="R16" s="1511" t="s">
        <v>828</v>
      </c>
      <c r="S16" s="1712" t="s">
        <v>828</v>
      </c>
      <c r="T16" s="1658" t="s">
        <v>828</v>
      </c>
      <c r="U16" s="1712" t="s">
        <v>828</v>
      </c>
      <c r="V16" s="1658" t="s">
        <v>828</v>
      </c>
      <c r="W16" s="1712" t="s">
        <v>828</v>
      </c>
      <c r="X16" s="1737" t="s">
        <v>828</v>
      </c>
      <c r="Y16" s="1511" t="s">
        <v>828</v>
      </c>
      <c r="Z16" s="1511" t="s">
        <v>828</v>
      </c>
      <c r="AA16" s="1511" t="s">
        <v>828</v>
      </c>
      <c r="AB16" s="1511" t="s">
        <v>828</v>
      </c>
      <c r="AC16" s="1511" t="s">
        <v>828</v>
      </c>
      <c r="AD16" s="1511" t="s">
        <v>828</v>
      </c>
      <c r="AE16" s="1511" t="s">
        <v>828</v>
      </c>
      <c r="AF16" s="1511" t="s">
        <v>828</v>
      </c>
      <c r="AG16" s="1712" t="s">
        <v>828</v>
      </c>
      <c r="AH16" s="1658" t="s">
        <v>828</v>
      </c>
      <c r="AI16" s="1712" t="s">
        <v>828</v>
      </c>
      <c r="AJ16" s="1658" t="s">
        <v>828</v>
      </c>
      <c r="AK16" s="1511" t="s">
        <v>828</v>
      </c>
      <c r="AL16" s="1511" t="s">
        <v>828</v>
      </c>
      <c r="AM16" s="1511" t="s">
        <v>828</v>
      </c>
      <c r="AN16" s="1511" t="s">
        <v>828</v>
      </c>
      <c r="AO16" s="1511" t="s">
        <v>828</v>
      </c>
      <c r="AP16" s="1511" t="s">
        <v>828</v>
      </c>
      <c r="AQ16" s="1511" t="s">
        <v>828</v>
      </c>
      <c r="AR16" s="1511" t="s">
        <v>828</v>
      </c>
      <c r="AS16" s="1712" t="s">
        <v>828</v>
      </c>
      <c r="AT16" s="1658" t="s">
        <v>828</v>
      </c>
      <c r="AU16" s="1712" t="s">
        <v>828</v>
      </c>
      <c r="AV16" s="1658" t="s">
        <v>828</v>
      </c>
      <c r="AW16" s="1511" t="s">
        <v>828</v>
      </c>
      <c r="AX16" s="1511" t="s">
        <v>828</v>
      </c>
      <c r="AY16" s="1511" t="s">
        <v>828</v>
      </c>
      <c r="AZ16" s="1511" t="s">
        <v>828</v>
      </c>
      <c r="BA16" s="1511" t="s">
        <v>828</v>
      </c>
      <c r="BB16" s="1511" t="s">
        <v>828</v>
      </c>
      <c r="BC16" s="1511" t="s">
        <v>828</v>
      </c>
      <c r="BD16" s="1511" t="s">
        <v>828</v>
      </c>
      <c r="BE16" s="1781" t="s">
        <v>828</v>
      </c>
      <c r="BF16" s="2370" t="s">
        <v>828</v>
      </c>
      <c r="BG16" s="2369" t="s">
        <v>828</v>
      </c>
      <c r="BH16" s="1658" t="s">
        <v>828</v>
      </c>
      <c r="BI16" s="1511" t="s">
        <v>828</v>
      </c>
      <c r="BJ16" s="1511" t="s">
        <v>828</v>
      </c>
      <c r="BK16" s="1712" t="s">
        <v>828</v>
      </c>
      <c r="BL16" s="2370" t="s">
        <v>828</v>
      </c>
      <c r="BM16" s="2369" t="s">
        <v>828</v>
      </c>
      <c r="BN16" s="1658" t="s">
        <v>828</v>
      </c>
      <c r="BO16" s="1511" t="s">
        <v>828</v>
      </c>
      <c r="BP16" s="1511" t="s">
        <v>828</v>
      </c>
      <c r="BQ16" s="1511" t="s">
        <v>828</v>
      </c>
      <c r="BR16" s="1511" t="s">
        <v>828</v>
      </c>
      <c r="BS16" s="1511" t="s">
        <v>828</v>
      </c>
      <c r="BT16" s="1511" t="s">
        <v>828</v>
      </c>
      <c r="BU16" s="1511" t="s">
        <v>828</v>
      </c>
      <c r="BV16" s="1511" t="s">
        <v>828</v>
      </c>
      <c r="BW16" s="1511" t="s">
        <v>828</v>
      </c>
      <c r="BX16" s="1781" t="s">
        <v>828</v>
      </c>
      <c r="BY16" s="2370" t="s">
        <v>828</v>
      </c>
      <c r="BZ16" s="2369" t="s">
        <v>828</v>
      </c>
      <c r="CA16" s="1658" t="s">
        <v>828</v>
      </c>
      <c r="CB16" s="1511" t="s">
        <v>828</v>
      </c>
      <c r="CC16" s="1511" t="s">
        <v>828</v>
      </c>
      <c r="CD16" s="1511" t="s">
        <v>828</v>
      </c>
      <c r="CE16" s="1712" t="s">
        <v>828</v>
      </c>
      <c r="CF16" s="2370" t="s">
        <v>828</v>
      </c>
      <c r="CG16" s="2369" t="s">
        <v>828</v>
      </c>
      <c r="CH16" s="801"/>
      <c r="CI16" s="801"/>
      <c r="CJ16" s="801"/>
      <c r="CK16" s="801"/>
      <c r="CL16" s="801"/>
      <c r="CM16" s="1189" t="s">
        <v>1198</v>
      </c>
      <c r="CN16" s="1202"/>
      <c r="CO16" s="1208">
        <f>SUM(E102:S102)</f>
        <v>0</v>
      </c>
      <c r="CP16" s="1212" t="s">
        <v>1198</v>
      </c>
      <c r="CQ16" s="1202"/>
      <c r="CR16" s="1213">
        <f>SUM(X102:AG102)</f>
        <v>0</v>
      </c>
      <c r="CS16" s="1191" t="s">
        <v>738</v>
      </c>
      <c r="CT16" s="1202"/>
      <c r="CU16" s="1207">
        <f>SUM(AJ109:AU109)</f>
        <v>0</v>
      </c>
      <c r="CV16" s="1194" t="s">
        <v>738</v>
      </c>
      <c r="CW16" s="1202"/>
      <c r="CX16" s="1223">
        <f>SUM(BH109:BM109)</f>
        <v>0</v>
      </c>
      <c r="CY16" s="1230" t="s">
        <v>738</v>
      </c>
      <c r="CZ16" s="1202"/>
      <c r="DA16" s="1229">
        <f>SUM(BN109:BZ109)</f>
        <v>0</v>
      </c>
      <c r="DB16" s="1238" t="s">
        <v>738</v>
      </c>
      <c r="DC16" s="1202"/>
      <c r="DD16" s="1237">
        <f>SUM(CA109:CG109)</f>
        <v>0</v>
      </c>
      <c r="DE16" s="1815" t="s">
        <v>738</v>
      </c>
      <c r="DF16" s="1202"/>
      <c r="DG16" s="1814">
        <f>SUM(AV109:BG109)</f>
        <v>0</v>
      </c>
    </row>
    <row r="17" spans="1:118" ht="27" customHeight="1">
      <c r="A17" s="2881" t="s">
        <v>1348</v>
      </c>
      <c r="B17" s="2881"/>
      <c r="C17" s="2216" t="s">
        <v>828</v>
      </c>
      <c r="D17" s="1712" t="s">
        <v>828</v>
      </c>
      <c r="E17" s="1658" t="s">
        <v>828</v>
      </c>
      <c r="F17" s="1511" t="s">
        <v>828</v>
      </c>
      <c r="G17" s="1511" t="s">
        <v>828</v>
      </c>
      <c r="H17" s="1511" t="s">
        <v>828</v>
      </c>
      <c r="I17" s="1511" t="s">
        <v>828</v>
      </c>
      <c r="J17" s="1511" t="s">
        <v>828</v>
      </c>
      <c r="K17" s="1511" t="s">
        <v>828</v>
      </c>
      <c r="L17" s="1511" t="s">
        <v>828</v>
      </c>
      <c r="M17" s="1511" t="s">
        <v>828</v>
      </c>
      <c r="N17" s="1511" t="s">
        <v>828</v>
      </c>
      <c r="O17" s="1511" t="s">
        <v>828</v>
      </c>
      <c r="P17" s="1511" t="s">
        <v>828</v>
      </c>
      <c r="Q17" s="1511" t="s">
        <v>828</v>
      </c>
      <c r="R17" s="1511" t="s">
        <v>828</v>
      </c>
      <c r="S17" s="1712" t="s">
        <v>828</v>
      </c>
      <c r="T17" s="1658" t="s">
        <v>828</v>
      </c>
      <c r="U17" s="1712" t="s">
        <v>828</v>
      </c>
      <c r="V17" s="1658" t="s">
        <v>828</v>
      </c>
      <c r="W17" s="1712" t="s">
        <v>828</v>
      </c>
      <c r="X17" s="1737" t="s">
        <v>828</v>
      </c>
      <c r="Y17" s="1511" t="s">
        <v>828</v>
      </c>
      <c r="Z17" s="1511" t="s">
        <v>828</v>
      </c>
      <c r="AA17" s="1511" t="s">
        <v>828</v>
      </c>
      <c r="AB17" s="1511" t="s">
        <v>828</v>
      </c>
      <c r="AC17" s="1511" t="s">
        <v>828</v>
      </c>
      <c r="AD17" s="1511" t="s">
        <v>828</v>
      </c>
      <c r="AE17" s="1511" t="s">
        <v>828</v>
      </c>
      <c r="AF17" s="1511" t="s">
        <v>828</v>
      </c>
      <c r="AG17" s="1712" t="s">
        <v>828</v>
      </c>
      <c r="AH17" s="1658" t="s">
        <v>828</v>
      </c>
      <c r="AI17" s="1712" t="s">
        <v>828</v>
      </c>
      <c r="AJ17" s="1658" t="s">
        <v>828</v>
      </c>
      <c r="AK17" s="1511" t="s">
        <v>828</v>
      </c>
      <c r="AL17" s="1511" t="s">
        <v>828</v>
      </c>
      <c r="AM17" s="1511" t="s">
        <v>828</v>
      </c>
      <c r="AN17" s="1511" t="s">
        <v>828</v>
      </c>
      <c r="AO17" s="1511" t="s">
        <v>828</v>
      </c>
      <c r="AP17" s="1511" t="s">
        <v>828</v>
      </c>
      <c r="AQ17" s="1511" t="s">
        <v>828</v>
      </c>
      <c r="AR17" s="1511" t="s">
        <v>828</v>
      </c>
      <c r="AS17" s="1712" t="s">
        <v>828</v>
      </c>
      <c r="AT17" s="1658" t="s">
        <v>828</v>
      </c>
      <c r="AU17" s="1712" t="s">
        <v>828</v>
      </c>
      <c r="AV17" s="1658" t="s">
        <v>828</v>
      </c>
      <c r="AW17" s="1511" t="s">
        <v>828</v>
      </c>
      <c r="AX17" s="1511" t="s">
        <v>828</v>
      </c>
      <c r="AY17" s="1511" t="s">
        <v>828</v>
      </c>
      <c r="AZ17" s="1511" t="s">
        <v>828</v>
      </c>
      <c r="BA17" s="1511" t="s">
        <v>828</v>
      </c>
      <c r="BB17" s="1511" t="s">
        <v>828</v>
      </c>
      <c r="BC17" s="1511" t="s">
        <v>828</v>
      </c>
      <c r="BD17" s="1511" t="s">
        <v>828</v>
      </c>
      <c r="BE17" s="1781" t="s">
        <v>828</v>
      </c>
      <c r="BF17" s="1658" t="s">
        <v>828</v>
      </c>
      <c r="BG17" s="1712" t="s">
        <v>828</v>
      </c>
      <c r="BH17" s="1658" t="s">
        <v>828</v>
      </c>
      <c r="BI17" s="1511" t="s">
        <v>828</v>
      </c>
      <c r="BJ17" s="1511" t="s">
        <v>828</v>
      </c>
      <c r="BK17" s="1712" t="s">
        <v>828</v>
      </c>
      <c r="BL17" s="1658" t="s">
        <v>828</v>
      </c>
      <c r="BM17" s="1712" t="s">
        <v>828</v>
      </c>
      <c r="BN17" s="1658" t="s">
        <v>828</v>
      </c>
      <c r="BO17" s="1511" t="s">
        <v>828</v>
      </c>
      <c r="BP17" s="1511" t="s">
        <v>828</v>
      </c>
      <c r="BQ17" s="1511" t="s">
        <v>828</v>
      </c>
      <c r="BR17" s="1511" t="s">
        <v>828</v>
      </c>
      <c r="BS17" s="1511" t="s">
        <v>828</v>
      </c>
      <c r="BT17" s="1511" t="s">
        <v>828</v>
      </c>
      <c r="BU17" s="1511" t="s">
        <v>828</v>
      </c>
      <c r="BV17" s="1511" t="s">
        <v>828</v>
      </c>
      <c r="BW17" s="1511" t="s">
        <v>828</v>
      </c>
      <c r="BX17" s="1781" t="s">
        <v>828</v>
      </c>
      <c r="BY17" s="1658" t="s">
        <v>828</v>
      </c>
      <c r="BZ17" s="1712" t="s">
        <v>828</v>
      </c>
      <c r="CA17" s="1658" t="s">
        <v>828</v>
      </c>
      <c r="CB17" s="1511" t="s">
        <v>828</v>
      </c>
      <c r="CC17" s="1511" t="s">
        <v>828</v>
      </c>
      <c r="CD17" s="1511" t="s">
        <v>828</v>
      </c>
      <c r="CE17" s="1712" t="s">
        <v>1331</v>
      </c>
      <c r="CF17" s="1658" t="s">
        <v>828</v>
      </c>
      <c r="CG17" s="1712" t="s">
        <v>828</v>
      </c>
      <c r="CH17" s="801"/>
      <c r="CI17" s="801"/>
      <c r="CJ17" s="801"/>
      <c r="CK17" s="801"/>
      <c r="CL17" s="801"/>
      <c r="CM17" s="1405" t="s">
        <v>1417</v>
      </c>
      <c r="CN17" s="1406"/>
      <c r="CO17" s="1552">
        <f>SUM(C107:U107)</f>
        <v>0</v>
      </c>
      <c r="CP17" s="1553" t="str">
        <f>CM17</f>
        <v>St. Bededagstillæg</v>
      </c>
      <c r="CQ17" s="1406"/>
      <c r="CR17" s="1554">
        <f>SUM(V107:AI107)</f>
        <v>0</v>
      </c>
      <c r="CS17" s="1555" t="s">
        <v>1385</v>
      </c>
      <c r="CT17" s="1406"/>
      <c r="CU17" s="1556">
        <f>SUM(AJ111:AU111)</f>
        <v>0</v>
      </c>
      <c r="CV17" s="1557" t="str">
        <f>CS17</f>
        <v>Diæter</v>
      </c>
      <c r="CW17" s="1406"/>
      <c r="CX17" s="1558">
        <f>SUM(BH111:BM111)</f>
        <v>0</v>
      </c>
      <c r="CY17" s="1559" t="str">
        <f>CV17</f>
        <v>Diæter</v>
      </c>
      <c r="CZ17" s="1406"/>
      <c r="DA17" s="1560">
        <f>SUM(BN111:BZ111)</f>
        <v>0</v>
      </c>
      <c r="DB17" s="1561" t="str">
        <f>CY17</f>
        <v>Diæter</v>
      </c>
      <c r="DC17" s="1406"/>
      <c r="DD17" s="1562">
        <f>SUM(CA111:CG111)</f>
        <v>0</v>
      </c>
      <c r="DE17" s="1818" t="str">
        <f>DB17</f>
        <v>Diæter</v>
      </c>
      <c r="DF17" s="1406"/>
      <c r="DG17" s="1819">
        <f>SUM(AV111:BG111)</f>
        <v>0</v>
      </c>
    </row>
    <row r="18" spans="1:118" ht="27" customHeight="1">
      <c r="A18" s="2820" t="str">
        <f>"SENIORBONUS. Er den ansatte omfattet af seniorbonusordningen og er eller fylder den ansatte 62 år i "&amp;budgetår&amp;" (Vælg: Ja)"</f>
        <v>SENIORBONUS. Er den ansatte omfattet af seniorbonusordningen og er eller fylder den ansatte 62 år i 2024 (Vælg: Ja)</v>
      </c>
      <c r="B18" s="2821"/>
      <c r="C18" s="1416" t="s">
        <v>828</v>
      </c>
      <c r="D18" s="2391" t="s">
        <v>828</v>
      </c>
      <c r="E18" s="2390" t="s">
        <v>828</v>
      </c>
      <c r="F18" s="1416" t="s">
        <v>828</v>
      </c>
      <c r="G18" s="1416" t="s">
        <v>828</v>
      </c>
      <c r="H18" s="1416" t="s">
        <v>1331</v>
      </c>
      <c r="I18" s="1416" t="s">
        <v>828</v>
      </c>
      <c r="J18" s="1416" t="s">
        <v>828</v>
      </c>
      <c r="K18" s="1416" t="s">
        <v>828</v>
      </c>
      <c r="L18" s="1416" t="s">
        <v>828</v>
      </c>
      <c r="M18" s="1416" t="s">
        <v>828</v>
      </c>
      <c r="N18" s="1416" t="s">
        <v>828</v>
      </c>
      <c r="O18" s="1416" t="s">
        <v>828</v>
      </c>
      <c r="P18" s="1416" t="s">
        <v>828</v>
      </c>
      <c r="Q18" s="1416" t="s">
        <v>828</v>
      </c>
      <c r="R18" s="1416" t="s">
        <v>828</v>
      </c>
      <c r="S18" s="2391" t="s">
        <v>828</v>
      </c>
      <c r="T18" s="1685"/>
      <c r="U18" s="1723"/>
      <c r="V18" s="2390" t="s">
        <v>828</v>
      </c>
      <c r="W18" s="2391" t="s">
        <v>828</v>
      </c>
      <c r="X18" s="2417" t="s">
        <v>828</v>
      </c>
      <c r="Y18" s="1416" t="s">
        <v>828</v>
      </c>
      <c r="Z18" s="1416" t="s">
        <v>828</v>
      </c>
      <c r="AA18" s="1416" t="s">
        <v>828</v>
      </c>
      <c r="AB18" s="1416" t="s">
        <v>828</v>
      </c>
      <c r="AC18" s="1416" t="s">
        <v>828</v>
      </c>
      <c r="AD18" s="1416" t="s">
        <v>828</v>
      </c>
      <c r="AE18" s="1416" t="s">
        <v>828</v>
      </c>
      <c r="AF18" s="1416" t="s">
        <v>828</v>
      </c>
      <c r="AG18" s="1416" t="s">
        <v>828</v>
      </c>
      <c r="AH18" s="1579"/>
      <c r="AI18" s="1727"/>
      <c r="AJ18" s="1416" t="s">
        <v>828</v>
      </c>
      <c r="AK18" s="1416" t="s">
        <v>828</v>
      </c>
      <c r="AL18" s="1416" t="s">
        <v>828</v>
      </c>
      <c r="AM18" s="1416" t="s">
        <v>828</v>
      </c>
      <c r="AN18" s="1416" t="s">
        <v>828</v>
      </c>
      <c r="AO18" s="1416" t="s">
        <v>828</v>
      </c>
      <c r="AP18" s="1416" t="s">
        <v>828</v>
      </c>
      <c r="AQ18" s="1416" t="s">
        <v>828</v>
      </c>
      <c r="AR18" s="1416" t="s">
        <v>828</v>
      </c>
      <c r="AS18" s="1416" t="s">
        <v>828</v>
      </c>
      <c r="AT18" s="1579"/>
      <c r="AU18" s="1727"/>
      <c r="AV18" s="1416" t="s">
        <v>828</v>
      </c>
      <c r="AW18" s="1416" t="s">
        <v>828</v>
      </c>
      <c r="AX18" s="1416" t="s">
        <v>828</v>
      </c>
      <c r="AY18" s="1416" t="s">
        <v>828</v>
      </c>
      <c r="AZ18" s="1416" t="s">
        <v>828</v>
      </c>
      <c r="BA18" s="1416" t="s">
        <v>828</v>
      </c>
      <c r="BB18" s="1416" t="s">
        <v>828</v>
      </c>
      <c r="BC18" s="1416" t="s">
        <v>828</v>
      </c>
      <c r="BD18" s="1416" t="s">
        <v>828</v>
      </c>
      <c r="BE18" s="1416" t="s">
        <v>828</v>
      </c>
      <c r="BF18" s="1579"/>
      <c r="BG18" s="1727"/>
      <c r="BH18" s="1416" t="s">
        <v>828</v>
      </c>
      <c r="BI18" s="1416" t="s">
        <v>828</v>
      </c>
      <c r="BJ18" s="1416" t="s">
        <v>828</v>
      </c>
      <c r="BK18" s="1416" t="s">
        <v>828</v>
      </c>
      <c r="BL18" s="1579"/>
      <c r="BM18" s="1727"/>
      <c r="BN18" s="1416" t="s">
        <v>828</v>
      </c>
      <c r="BO18" s="1416" t="s">
        <v>828</v>
      </c>
      <c r="BP18" s="1416" t="s">
        <v>828</v>
      </c>
      <c r="BQ18" s="1416" t="s">
        <v>828</v>
      </c>
      <c r="BR18" s="1416" t="s">
        <v>828</v>
      </c>
      <c r="BS18" s="1416" t="s">
        <v>828</v>
      </c>
      <c r="BT18" s="1416" t="s">
        <v>828</v>
      </c>
      <c r="BU18" s="1416" t="s">
        <v>828</v>
      </c>
      <c r="BV18" s="1416" t="s">
        <v>828</v>
      </c>
      <c r="BW18" s="1416" t="s">
        <v>828</v>
      </c>
      <c r="BX18" s="1416" t="s">
        <v>828</v>
      </c>
      <c r="BY18" s="1579"/>
      <c r="BZ18" s="1727"/>
      <c r="CA18" s="1416" t="s">
        <v>828</v>
      </c>
      <c r="CB18" s="1416" t="s">
        <v>828</v>
      </c>
      <c r="CC18" s="1416" t="s">
        <v>828</v>
      </c>
      <c r="CD18" s="1416" t="s">
        <v>828</v>
      </c>
      <c r="CE18" s="1416" t="s">
        <v>828</v>
      </c>
      <c r="CF18" s="1579"/>
      <c r="CG18" s="1727"/>
      <c r="CM18" s="1189" t="s">
        <v>1173</v>
      </c>
      <c r="CN18" s="1202"/>
      <c r="CO18" s="1208">
        <f>SUM(E103:S103)</f>
        <v>0</v>
      </c>
      <c r="CP18" s="1212" t="s">
        <v>1173</v>
      </c>
      <c r="CQ18" s="1202"/>
      <c r="CR18" s="1213">
        <f>SUM(X103:AG103)</f>
        <v>0</v>
      </c>
      <c r="CS18" s="1191" t="s">
        <v>699</v>
      </c>
      <c r="CT18" s="1202"/>
      <c r="CU18" s="1207">
        <f>SUM(AJ110:AU110)</f>
        <v>0</v>
      </c>
      <c r="CV18" s="1194" t="s">
        <v>699</v>
      </c>
      <c r="CW18" s="1202"/>
      <c r="CX18" s="1223">
        <f>SUM(BH110:BM110)</f>
        <v>0</v>
      </c>
      <c r="CY18" s="1230" t="s">
        <v>699</v>
      </c>
      <c r="CZ18" s="1202"/>
      <c r="DA18" s="1229">
        <f>SUM(BN110:BZ110)</f>
        <v>0</v>
      </c>
      <c r="DB18" s="1238" t="s">
        <v>699</v>
      </c>
      <c r="DC18" s="1202"/>
      <c r="DD18" s="1237">
        <f>SUM(CA110:CG110)</f>
        <v>0</v>
      </c>
      <c r="DE18" s="1815" t="s">
        <v>699</v>
      </c>
      <c r="DF18" s="1202"/>
      <c r="DG18" s="1814">
        <f>SUM(AV110:BG110)</f>
        <v>0</v>
      </c>
    </row>
    <row r="19" spans="1:118" ht="27" customHeight="1">
      <c r="A19" s="2820" t="str">
        <f>"SENIORBONUS. Er den ansatte omfattet af seniorbonusordningen og er eller fylder den ansatte 62 år i "&amp;budgetår+1&amp;" (Vælg: Ja)"</f>
        <v>SENIORBONUS. Er den ansatte omfattet af seniorbonusordningen og er eller fylder den ansatte 62 år i 2025 (Vælg: Ja)</v>
      </c>
      <c r="B19" s="2821"/>
      <c r="C19" s="1416" t="s">
        <v>828</v>
      </c>
      <c r="D19" s="2391" t="s">
        <v>828</v>
      </c>
      <c r="E19" s="2390" t="s">
        <v>828</v>
      </c>
      <c r="F19" s="1416" t="s">
        <v>828</v>
      </c>
      <c r="G19" s="1416" t="s">
        <v>828</v>
      </c>
      <c r="H19" s="1416" t="s">
        <v>828</v>
      </c>
      <c r="I19" s="1416" t="s">
        <v>828</v>
      </c>
      <c r="J19" s="1416" t="s">
        <v>828</v>
      </c>
      <c r="K19" s="1416" t="s">
        <v>828</v>
      </c>
      <c r="L19" s="1416" t="s">
        <v>828</v>
      </c>
      <c r="M19" s="1416" t="s">
        <v>828</v>
      </c>
      <c r="N19" s="1416" t="s">
        <v>828</v>
      </c>
      <c r="O19" s="1416" t="s">
        <v>828</v>
      </c>
      <c r="P19" s="1416" t="s">
        <v>828</v>
      </c>
      <c r="Q19" s="1416" t="s">
        <v>828</v>
      </c>
      <c r="R19" s="1416" t="s">
        <v>828</v>
      </c>
      <c r="S19" s="2391" t="s">
        <v>828</v>
      </c>
      <c r="T19" s="1579"/>
      <c r="U19" s="1727"/>
      <c r="V19" s="2390" t="s">
        <v>828</v>
      </c>
      <c r="W19" s="2391" t="s">
        <v>828</v>
      </c>
      <c r="X19" s="2417" t="s">
        <v>828</v>
      </c>
      <c r="Y19" s="1416" t="s">
        <v>828</v>
      </c>
      <c r="Z19" s="1416" t="s">
        <v>828</v>
      </c>
      <c r="AA19" s="1416" t="s">
        <v>828</v>
      </c>
      <c r="AB19" s="1416" t="s">
        <v>828</v>
      </c>
      <c r="AC19" s="1416" t="s">
        <v>828</v>
      </c>
      <c r="AD19" s="1416" t="s">
        <v>828</v>
      </c>
      <c r="AE19" s="1416" t="s">
        <v>828</v>
      </c>
      <c r="AF19" s="1416" t="s">
        <v>828</v>
      </c>
      <c r="AG19" s="1416" t="s">
        <v>828</v>
      </c>
      <c r="AH19" s="1579"/>
      <c r="AI19" s="1727"/>
      <c r="AJ19" s="1416" t="s">
        <v>828</v>
      </c>
      <c r="AK19" s="1416" t="s">
        <v>828</v>
      </c>
      <c r="AL19" s="1416" t="s">
        <v>828</v>
      </c>
      <c r="AM19" s="1416" t="s">
        <v>828</v>
      </c>
      <c r="AN19" s="1416" t="s">
        <v>828</v>
      </c>
      <c r="AO19" s="1416" t="s">
        <v>828</v>
      </c>
      <c r="AP19" s="1416" t="s">
        <v>828</v>
      </c>
      <c r="AQ19" s="1416" t="s">
        <v>828</v>
      </c>
      <c r="AR19" s="1416" t="s">
        <v>828</v>
      </c>
      <c r="AS19" s="1416" t="s">
        <v>828</v>
      </c>
      <c r="AT19" s="1579"/>
      <c r="AU19" s="1727"/>
      <c r="AV19" s="1416" t="s">
        <v>828</v>
      </c>
      <c r="AW19" s="1416" t="s">
        <v>828</v>
      </c>
      <c r="AX19" s="1416" t="s">
        <v>828</v>
      </c>
      <c r="AY19" s="1416" t="s">
        <v>828</v>
      </c>
      <c r="AZ19" s="1416" t="s">
        <v>828</v>
      </c>
      <c r="BA19" s="1416" t="s">
        <v>828</v>
      </c>
      <c r="BB19" s="1416" t="s">
        <v>828</v>
      </c>
      <c r="BC19" s="1416" t="s">
        <v>828</v>
      </c>
      <c r="BD19" s="1416" t="s">
        <v>828</v>
      </c>
      <c r="BE19" s="1416" t="s">
        <v>828</v>
      </c>
      <c r="BF19" s="1579"/>
      <c r="BG19" s="1727"/>
      <c r="BH19" s="1416" t="s">
        <v>828</v>
      </c>
      <c r="BI19" s="1416" t="s">
        <v>828</v>
      </c>
      <c r="BJ19" s="1416" t="s">
        <v>828</v>
      </c>
      <c r="BK19" s="1416" t="s">
        <v>828</v>
      </c>
      <c r="BL19" s="1579"/>
      <c r="BM19" s="1727"/>
      <c r="BN19" s="1416" t="s">
        <v>828</v>
      </c>
      <c r="BO19" s="1416" t="s">
        <v>828</v>
      </c>
      <c r="BP19" s="1416" t="s">
        <v>828</v>
      </c>
      <c r="BQ19" s="1416" t="s">
        <v>828</v>
      </c>
      <c r="BR19" s="1416" t="s">
        <v>828</v>
      </c>
      <c r="BS19" s="1416" t="s">
        <v>828</v>
      </c>
      <c r="BT19" s="1416" t="s">
        <v>828</v>
      </c>
      <c r="BU19" s="1416" t="s">
        <v>828</v>
      </c>
      <c r="BV19" s="1416" t="s">
        <v>828</v>
      </c>
      <c r="BW19" s="1416" t="s">
        <v>828</v>
      </c>
      <c r="BX19" s="1416" t="s">
        <v>828</v>
      </c>
      <c r="BY19" s="1579"/>
      <c r="BZ19" s="1727"/>
      <c r="CA19" s="1416" t="s">
        <v>828</v>
      </c>
      <c r="CB19" s="1416" t="s">
        <v>828</v>
      </c>
      <c r="CC19" s="1416" t="s">
        <v>828</v>
      </c>
      <c r="CD19" s="1416" t="s">
        <v>828</v>
      </c>
      <c r="CE19" s="1416" t="s">
        <v>828</v>
      </c>
      <c r="CF19" s="1579"/>
      <c r="CG19" s="1727"/>
      <c r="CM19" s="1189" t="s">
        <v>1217</v>
      </c>
      <c r="CN19" s="1202"/>
      <c r="CO19" s="1208">
        <f>SUM(E104:S104)</f>
        <v>0</v>
      </c>
      <c r="CP19" s="1212" t="s">
        <v>1217</v>
      </c>
      <c r="CQ19" s="1202"/>
      <c r="CR19" s="1213">
        <f>SUM(X104:AG104)</f>
        <v>0</v>
      </c>
      <c r="CS19" s="1191" t="s">
        <v>1174</v>
      </c>
      <c r="CT19" s="1202"/>
      <c r="CU19" s="1207">
        <f>SUM(AJ113:AU113)</f>
        <v>0</v>
      </c>
      <c r="CV19" s="1194" t="s">
        <v>1174</v>
      </c>
      <c r="CW19" s="1202"/>
      <c r="CX19" s="1223">
        <f>SUM(BH113:BM113)</f>
        <v>0</v>
      </c>
      <c r="CY19" s="1230" t="s">
        <v>1174</v>
      </c>
      <c r="CZ19" s="1202"/>
      <c r="DA19" s="1229">
        <f>SUM(BN113:BZ113)</f>
        <v>0</v>
      </c>
      <c r="DB19" s="1238" t="s">
        <v>1174</v>
      </c>
      <c r="DC19" s="1202"/>
      <c r="DD19" s="1237">
        <f>SUM(CA113:CG113)</f>
        <v>0</v>
      </c>
      <c r="DE19" s="1815" t="s">
        <v>1174</v>
      </c>
      <c r="DF19" s="1202"/>
      <c r="DG19" s="1814">
        <f>SUM(AV113:BG113)</f>
        <v>0</v>
      </c>
    </row>
    <row r="20" spans="1:118" ht="24" customHeight="1">
      <c r="A20" s="2882" t="s">
        <v>1104</v>
      </c>
      <c r="B20" s="2882"/>
      <c r="C20" s="2216"/>
      <c r="D20" s="1712"/>
      <c r="E20" s="1658"/>
      <c r="F20" s="1511"/>
      <c r="G20" s="1511"/>
      <c r="H20" s="1511"/>
      <c r="I20" s="1511"/>
      <c r="J20" s="1511"/>
      <c r="K20" s="1511"/>
      <c r="L20" s="1511"/>
      <c r="M20" s="1511"/>
      <c r="N20" s="1511"/>
      <c r="O20" s="1511"/>
      <c r="P20" s="1511"/>
      <c r="Q20" s="1511"/>
      <c r="R20" s="1511"/>
      <c r="S20" s="1712"/>
      <c r="T20" s="1658"/>
      <c r="U20" s="1712"/>
      <c r="V20" s="1658"/>
      <c r="W20" s="1712"/>
      <c r="X20" s="1737"/>
      <c r="Y20" s="1511"/>
      <c r="Z20" s="1511"/>
      <c r="AA20" s="1511"/>
      <c r="AB20" s="1511"/>
      <c r="AC20" s="1511"/>
      <c r="AD20" s="1511"/>
      <c r="AE20" s="1511"/>
      <c r="AF20" s="1511"/>
      <c r="AG20" s="1712"/>
      <c r="AH20" s="1658"/>
      <c r="AI20" s="1712"/>
      <c r="AJ20" s="1658"/>
      <c r="AK20" s="1511"/>
      <c r="AL20" s="1511"/>
      <c r="AM20" s="1511"/>
      <c r="AN20" s="1511"/>
      <c r="AO20" s="1511"/>
      <c r="AP20" s="1511"/>
      <c r="AQ20" s="1511"/>
      <c r="AR20" s="1511"/>
      <c r="AS20" s="1712"/>
      <c r="AT20" s="1658"/>
      <c r="AU20" s="1712"/>
      <c r="AV20" s="1658"/>
      <c r="AW20" s="1511"/>
      <c r="AX20" s="1511"/>
      <c r="AY20" s="1511"/>
      <c r="AZ20" s="1511"/>
      <c r="BA20" s="1511"/>
      <c r="BB20" s="1511"/>
      <c r="BC20" s="1511"/>
      <c r="BD20" s="1511"/>
      <c r="BE20" s="1781"/>
      <c r="BF20" s="1658"/>
      <c r="BG20" s="1712"/>
      <c r="BH20" s="1658"/>
      <c r="BI20" s="1511"/>
      <c r="BJ20" s="1511"/>
      <c r="BK20" s="1712"/>
      <c r="BL20" s="1658"/>
      <c r="BM20" s="1712"/>
      <c r="BN20" s="1657"/>
      <c r="BO20" s="1713"/>
      <c r="BP20" s="1713"/>
      <c r="BQ20" s="1713"/>
      <c r="BR20" s="1511"/>
      <c r="BS20" s="1511"/>
      <c r="BT20" s="1511"/>
      <c r="BU20" s="1511"/>
      <c r="BV20" s="1511"/>
      <c r="BW20" s="1511"/>
      <c r="BX20" s="1781"/>
      <c r="BY20" s="1658"/>
      <c r="BZ20" s="1712"/>
      <c r="CA20" s="1658"/>
      <c r="CB20" s="1511"/>
      <c r="CC20" s="1511"/>
      <c r="CD20" s="1511"/>
      <c r="CE20" s="1712"/>
      <c r="CF20" s="1658"/>
      <c r="CG20" s="1712"/>
      <c r="CH20" s="99" t="s">
        <v>332</v>
      </c>
      <c r="CM20" s="1189" t="s">
        <v>1215</v>
      </c>
      <c r="CN20" s="1202"/>
      <c r="CO20" s="1208">
        <f>SUM(E105:S105)</f>
        <v>0</v>
      </c>
      <c r="CP20" s="1212" t="s">
        <v>1215</v>
      </c>
      <c r="CQ20" s="1202"/>
      <c r="CR20" s="1213">
        <f>SUM(X105:AG105)</f>
        <v>0</v>
      </c>
      <c r="CS20" s="1191" t="s">
        <v>1216</v>
      </c>
      <c r="CT20" s="1202"/>
      <c r="CU20" s="1207">
        <f>SUM(AJ114:AU114)</f>
        <v>0</v>
      </c>
      <c r="CV20" s="1194" t="s">
        <v>1216</v>
      </c>
      <c r="CW20" s="1202"/>
      <c r="CX20" s="1223">
        <f>SUM(BH114:BM114)</f>
        <v>0</v>
      </c>
      <c r="CY20" s="1230" t="s">
        <v>1216</v>
      </c>
      <c r="CZ20" s="1202"/>
      <c r="DA20" s="1229">
        <f>SUM(BN114:BZ114)</f>
        <v>0</v>
      </c>
      <c r="DB20" s="1238" t="s">
        <v>1216</v>
      </c>
      <c r="DC20" s="1202"/>
      <c r="DD20" s="1237">
        <f>SUM(CA114:CG114)</f>
        <v>0</v>
      </c>
      <c r="DE20" s="1815" t="s">
        <v>1216</v>
      </c>
      <c r="DF20" s="1202"/>
      <c r="DG20" s="1814">
        <f>SUM(AV114:BG114)</f>
        <v>0</v>
      </c>
    </row>
    <row r="21" spans="1:118" ht="24" customHeight="1">
      <c r="A21" s="2882" t="s">
        <v>1105</v>
      </c>
      <c r="B21" s="2882"/>
      <c r="C21" s="1511" t="s">
        <v>1331</v>
      </c>
      <c r="D21" s="2332" t="s">
        <v>1331</v>
      </c>
      <c r="E21" s="2334" t="s">
        <v>1331</v>
      </c>
      <c r="F21" s="2335" t="s">
        <v>1331</v>
      </c>
      <c r="G21" s="2335" t="s">
        <v>1331</v>
      </c>
      <c r="H21" s="2335" t="s">
        <v>1331</v>
      </c>
      <c r="I21" s="2335" t="s">
        <v>1331</v>
      </c>
      <c r="J21" s="2335" t="s">
        <v>1331</v>
      </c>
      <c r="K21" s="2335" t="s">
        <v>1331</v>
      </c>
      <c r="L21" s="2335" t="s">
        <v>1331</v>
      </c>
      <c r="M21" s="2335" t="s">
        <v>1331</v>
      </c>
      <c r="N21" s="2335" t="s">
        <v>1331</v>
      </c>
      <c r="O21" s="2335" t="s">
        <v>1331</v>
      </c>
      <c r="P21" s="2335" t="s">
        <v>1331</v>
      </c>
      <c r="Q21" s="2335" t="s">
        <v>1331</v>
      </c>
      <c r="R21" s="2335" t="s">
        <v>1331</v>
      </c>
      <c r="S21" s="2336" t="s">
        <v>1331</v>
      </c>
      <c r="T21" s="2333" t="s">
        <v>1331</v>
      </c>
      <c r="U21" s="2332" t="s">
        <v>1331</v>
      </c>
      <c r="V21" s="2334" t="s">
        <v>1331</v>
      </c>
      <c r="W21" s="2336" t="s">
        <v>1331</v>
      </c>
      <c r="X21" s="2334" t="s">
        <v>1331</v>
      </c>
      <c r="Y21" s="2335" t="s">
        <v>1331</v>
      </c>
      <c r="Z21" s="2335" t="s">
        <v>1331</v>
      </c>
      <c r="AA21" s="2335" t="s">
        <v>1331</v>
      </c>
      <c r="AB21" s="2335" t="s">
        <v>1331</v>
      </c>
      <c r="AC21" s="2335" t="s">
        <v>1331</v>
      </c>
      <c r="AD21" s="2335" t="s">
        <v>1331</v>
      </c>
      <c r="AE21" s="2335" t="s">
        <v>1331</v>
      </c>
      <c r="AF21" s="2335" t="s">
        <v>1331</v>
      </c>
      <c r="AG21" s="2336" t="s">
        <v>1331</v>
      </c>
      <c r="AH21" s="2333" t="s">
        <v>1331</v>
      </c>
      <c r="AI21" s="2332" t="s">
        <v>1331</v>
      </c>
      <c r="AJ21" s="2334" t="s">
        <v>1331</v>
      </c>
      <c r="AK21" s="2335" t="s">
        <v>1331</v>
      </c>
      <c r="AL21" s="2335" t="s">
        <v>1331</v>
      </c>
      <c r="AM21" s="2335" t="s">
        <v>1331</v>
      </c>
      <c r="AN21" s="2335" t="s">
        <v>1331</v>
      </c>
      <c r="AO21" s="2335" t="s">
        <v>1331</v>
      </c>
      <c r="AP21" s="2335" t="s">
        <v>1331</v>
      </c>
      <c r="AQ21" s="2335" t="s">
        <v>1331</v>
      </c>
      <c r="AR21" s="2335" t="s">
        <v>1331</v>
      </c>
      <c r="AS21" s="2336" t="s">
        <v>1331</v>
      </c>
      <c r="AT21" s="2333" t="s">
        <v>1331</v>
      </c>
      <c r="AU21" s="2332" t="s">
        <v>1331</v>
      </c>
      <c r="AV21" s="2334" t="s">
        <v>1331</v>
      </c>
      <c r="AW21" s="2335" t="s">
        <v>1331</v>
      </c>
      <c r="AX21" s="2335" t="s">
        <v>1331</v>
      </c>
      <c r="AY21" s="2335" t="s">
        <v>1331</v>
      </c>
      <c r="AZ21" s="2335" t="s">
        <v>1331</v>
      </c>
      <c r="BA21" s="2335" t="s">
        <v>1331</v>
      </c>
      <c r="BB21" s="2335" t="s">
        <v>1331</v>
      </c>
      <c r="BC21" s="2335" t="s">
        <v>1331</v>
      </c>
      <c r="BD21" s="2335" t="s">
        <v>1331</v>
      </c>
      <c r="BE21" s="2336" t="s">
        <v>1331</v>
      </c>
      <c r="BF21" s="2333" t="s">
        <v>1331</v>
      </c>
      <c r="BG21" s="2332" t="s">
        <v>1331</v>
      </c>
      <c r="BH21" s="2334" t="s">
        <v>1331</v>
      </c>
      <c r="BI21" s="2335" t="s">
        <v>1331</v>
      </c>
      <c r="BJ21" s="2335" t="s">
        <v>1331</v>
      </c>
      <c r="BK21" s="2336" t="s">
        <v>1331</v>
      </c>
      <c r="BL21" s="2333" t="s">
        <v>1331</v>
      </c>
      <c r="BM21" s="1511" t="s">
        <v>1331</v>
      </c>
      <c r="BN21" s="1658" t="s">
        <v>1331</v>
      </c>
      <c r="BO21" s="1511" t="s">
        <v>1331</v>
      </c>
      <c r="BP21" s="1511" t="s">
        <v>1331</v>
      </c>
      <c r="BQ21" s="1511" t="s">
        <v>1331</v>
      </c>
      <c r="BR21" s="1511" t="s">
        <v>1331</v>
      </c>
      <c r="BS21" s="1511" t="s">
        <v>1331</v>
      </c>
      <c r="BT21" s="1511" t="s">
        <v>1331</v>
      </c>
      <c r="BU21" s="1511" t="s">
        <v>1331</v>
      </c>
      <c r="BV21" s="1511" t="s">
        <v>1331</v>
      </c>
      <c r="BW21" s="1511" t="s">
        <v>1331</v>
      </c>
      <c r="BX21" s="1781" t="s">
        <v>1331</v>
      </c>
      <c r="BY21" s="1658" t="s">
        <v>1331</v>
      </c>
      <c r="BZ21" s="1712" t="s">
        <v>1331</v>
      </c>
      <c r="CA21" s="2334" t="s">
        <v>1331</v>
      </c>
      <c r="CB21" s="2335" t="s">
        <v>1331</v>
      </c>
      <c r="CC21" s="2335" t="s">
        <v>1331</v>
      </c>
      <c r="CD21" s="2335" t="s">
        <v>1331</v>
      </c>
      <c r="CE21" s="2336" t="s">
        <v>1331</v>
      </c>
      <c r="CF21" s="2333" t="s">
        <v>1331</v>
      </c>
      <c r="CG21" s="1511" t="s">
        <v>1331</v>
      </c>
      <c r="CH21" s="99"/>
      <c r="CM21" s="2879" t="s">
        <v>1233</v>
      </c>
      <c r="CN21" s="2880"/>
      <c r="CO21" s="1208"/>
      <c r="CP21" s="2885" t="s">
        <v>1232</v>
      </c>
      <c r="CQ21" s="2886"/>
      <c r="CR21" s="1213"/>
      <c r="CS21" s="1191" t="s">
        <v>1205</v>
      </c>
      <c r="CT21" s="1202"/>
      <c r="CU21" s="1207">
        <f>SUM(AT99:AU99)+SUM(AT82:AU82)</f>
        <v>0</v>
      </c>
      <c r="CV21" s="1194" t="s">
        <v>1205</v>
      </c>
      <c r="CW21" s="1202"/>
      <c r="CX21" s="1223">
        <f>SUM(BL99:BM99)+SUM(BL82:BM82)</f>
        <v>0</v>
      </c>
      <c r="CY21" s="1230" t="s">
        <v>1205</v>
      </c>
      <c r="CZ21" s="1202"/>
      <c r="DA21" s="1229">
        <f>SUM(BY99:BZ99)+SUM(BY82:BZ82)</f>
        <v>0</v>
      </c>
      <c r="DB21" s="1238" t="s">
        <v>1205</v>
      </c>
      <c r="DC21" s="1202"/>
      <c r="DD21" s="1237">
        <f>SUM(CF99:CG99)+SUM(CF82:CG82)</f>
        <v>0</v>
      </c>
      <c r="DE21" s="1815" t="s">
        <v>1205</v>
      </c>
      <c r="DF21" s="1202"/>
      <c r="DG21" s="1814">
        <f>SUM(BF99:BG99)+BF82+BG82</f>
        <v>0</v>
      </c>
    </row>
    <row r="22" spans="1:118" ht="24" customHeight="1">
      <c r="A22" s="2882" t="s">
        <v>1106</v>
      </c>
      <c r="B22" s="2882"/>
      <c r="C22" s="2218">
        <f>+SatsBilag!$B$12</f>
        <v>1.2113608650000001</v>
      </c>
      <c r="D22" s="1715">
        <f>+SatsBilag!$B$12</f>
        <v>1.2113608650000001</v>
      </c>
      <c r="E22" s="1681">
        <f>'lon undervisning'!$C$16</f>
        <v>1.2113608650000001</v>
      </c>
      <c r="F22" s="1714">
        <f>'lon undervisning'!$C$16</f>
        <v>1.2113608650000001</v>
      </c>
      <c r="G22" s="1714">
        <f>'lon undervisning'!$C$16</f>
        <v>1.2113608650000001</v>
      </c>
      <c r="H22" s="1714">
        <f>'lon undervisning'!$C$16</f>
        <v>1.2113608650000001</v>
      </c>
      <c r="I22" s="1714">
        <f>'lon undervisning'!$C$16</f>
        <v>1.2113608650000001</v>
      </c>
      <c r="J22" s="1714">
        <f>'lon undervisning'!$C$16</f>
        <v>1.2113608650000001</v>
      </c>
      <c r="K22" s="1714">
        <f>'lon undervisning'!$C$16</f>
        <v>1.2113608650000001</v>
      </c>
      <c r="L22" s="1714">
        <f>'lon undervisning'!$C$16</f>
        <v>1.2113608650000001</v>
      </c>
      <c r="M22" s="1714">
        <f>'lon undervisning'!$C$16</f>
        <v>1.2113608650000001</v>
      </c>
      <c r="N22" s="1714">
        <f>'lon undervisning'!$C$16</f>
        <v>1.2113608650000001</v>
      </c>
      <c r="O22" s="1714">
        <f>'lon undervisning'!$C$16</f>
        <v>1.2113608650000001</v>
      </c>
      <c r="P22" s="1714">
        <f>'lon undervisning'!$C$16</f>
        <v>1.2113608650000001</v>
      </c>
      <c r="Q22" s="1714">
        <f>'lon undervisning'!$C$16</f>
        <v>1.2113608650000001</v>
      </c>
      <c r="R22" s="1714">
        <f>'lon undervisning'!$C$16</f>
        <v>1.2113608650000001</v>
      </c>
      <c r="S22" s="1715">
        <f>'lon undervisning'!$C$16</f>
        <v>1.2113608650000001</v>
      </c>
      <c r="T22" s="1681">
        <f>'lon undervisning'!$C$16</f>
        <v>1.2113608650000001</v>
      </c>
      <c r="U22" s="1715">
        <f>'lon undervisning'!$C$16</f>
        <v>1.2113608650000001</v>
      </c>
      <c r="V22" s="1681">
        <f>'lon undervisning'!$C$16</f>
        <v>1.2113608650000001</v>
      </c>
      <c r="W22" s="1715">
        <f>'lon undervisning'!$C$16</f>
        <v>1.2113608650000001</v>
      </c>
      <c r="X22" s="1738">
        <f>'lon undervisning'!$C$16</f>
        <v>1.2113608650000001</v>
      </c>
      <c r="Y22" s="1714">
        <f>'lon undervisning'!$C$16</f>
        <v>1.2113608650000001</v>
      </c>
      <c r="Z22" s="1714">
        <f>'lon undervisning'!$C$16</f>
        <v>1.2113608650000001</v>
      </c>
      <c r="AA22" s="1714">
        <f>'lon undervisning'!$C$16</f>
        <v>1.2113608650000001</v>
      </c>
      <c r="AB22" s="1714">
        <f>'lon undervisning'!$C$16</f>
        <v>1.2113608650000001</v>
      </c>
      <c r="AC22" s="1714">
        <f>'lon undervisning'!$C$16</f>
        <v>1.2113608650000001</v>
      </c>
      <c r="AD22" s="1714">
        <f>'lon undervisning'!$C$16</f>
        <v>1.2113608650000001</v>
      </c>
      <c r="AE22" s="1714">
        <f>'lon undervisning'!$C$16</f>
        <v>1.2113608650000001</v>
      </c>
      <c r="AF22" s="1714">
        <f>'lon undervisning'!$C$16</f>
        <v>1.2113608650000001</v>
      </c>
      <c r="AG22" s="1715">
        <f>'lon undervisning'!$C$16</f>
        <v>1.2113608650000001</v>
      </c>
      <c r="AH22" s="1681">
        <f>'lon undervisning'!$C$16</f>
        <v>1.2113608650000001</v>
      </c>
      <c r="AI22" s="1715">
        <f>'lon undervisning'!$C$16</f>
        <v>1.2113608650000001</v>
      </c>
      <c r="AJ22" s="1681">
        <f>'lon undervisning'!$C$16</f>
        <v>1.2113608650000001</v>
      </c>
      <c r="AK22" s="1714">
        <f>'lon undervisning'!$C$16</f>
        <v>1.2113608650000001</v>
      </c>
      <c r="AL22" s="1714">
        <f>'lon undervisning'!$C$16</f>
        <v>1.2113608650000001</v>
      </c>
      <c r="AM22" s="1714">
        <f>'lon undervisning'!$C$16</f>
        <v>1.2113608650000001</v>
      </c>
      <c r="AN22" s="1714">
        <f>'lon undervisning'!$C$16</f>
        <v>1.2113608650000001</v>
      </c>
      <c r="AO22" s="1714">
        <f>'lon undervisning'!$C$16</f>
        <v>1.2113608650000001</v>
      </c>
      <c r="AP22" s="1714">
        <f>'lon undervisning'!$C$16</f>
        <v>1.2113608650000001</v>
      </c>
      <c r="AQ22" s="1714">
        <f>'lon undervisning'!$C$16</f>
        <v>1.2113608650000001</v>
      </c>
      <c r="AR22" s="1714">
        <f>'lon undervisning'!$C$16</f>
        <v>1.2113608650000001</v>
      </c>
      <c r="AS22" s="1715">
        <f>'lon undervisning'!$C$16</f>
        <v>1.2113608650000001</v>
      </c>
      <c r="AT22" s="1681">
        <f>'lon undervisning'!$C$16</f>
        <v>1.2113608650000001</v>
      </c>
      <c r="AU22" s="1715">
        <f>'lon undervisning'!$C$16</f>
        <v>1.2113608650000001</v>
      </c>
      <c r="AV22" s="1681">
        <f>'lon undervisning'!$C$16</f>
        <v>1.2113608650000001</v>
      </c>
      <c r="AW22" s="1714">
        <f>'lon undervisning'!$C$16</f>
        <v>1.2113608650000001</v>
      </c>
      <c r="AX22" s="1714">
        <f>'lon undervisning'!$C$16</f>
        <v>1.2113608650000001</v>
      </c>
      <c r="AY22" s="1714">
        <f>'lon undervisning'!$C$16</f>
        <v>1.2113608650000001</v>
      </c>
      <c r="AZ22" s="1714">
        <f>'lon undervisning'!$C$16</f>
        <v>1.2113608650000001</v>
      </c>
      <c r="BA22" s="1714">
        <f>'lon undervisning'!$C$16</f>
        <v>1.2113608650000001</v>
      </c>
      <c r="BB22" s="1714">
        <f>'lon undervisning'!$C$16</f>
        <v>1.2113608650000001</v>
      </c>
      <c r="BC22" s="1714">
        <f>'lon undervisning'!$C$16</f>
        <v>1.2113608650000001</v>
      </c>
      <c r="BD22" s="1714">
        <f>'lon undervisning'!$C$16</f>
        <v>1.2113608650000001</v>
      </c>
      <c r="BE22" s="1782">
        <f>'lon undervisning'!$C$16</f>
        <v>1.2113608650000001</v>
      </c>
      <c r="BF22" s="1681">
        <f>'lon undervisning'!$C$16</f>
        <v>1.2113608650000001</v>
      </c>
      <c r="BG22" s="1715">
        <f>'lon undervisning'!$C$16</f>
        <v>1.2113608650000001</v>
      </c>
      <c r="BH22" s="1681">
        <f>'lon undervisning'!$C$16</f>
        <v>1.2113608650000001</v>
      </c>
      <c r="BI22" s="1714">
        <f>'lon undervisning'!$C$16</f>
        <v>1.2113608650000001</v>
      </c>
      <c r="BJ22" s="1714">
        <f>'lon undervisning'!$C$16</f>
        <v>1.2113608650000001</v>
      </c>
      <c r="BK22" s="1715">
        <f>'lon undervisning'!$C$16</f>
        <v>1.2113608650000001</v>
      </c>
      <c r="BL22" s="1681">
        <f>'lon undervisning'!$C$16</f>
        <v>1.2113608650000001</v>
      </c>
      <c r="BM22" s="1715">
        <f>'lon undervisning'!$C$16</f>
        <v>1.2113608650000001</v>
      </c>
      <c r="BN22" s="1681">
        <f>'lon undervisning'!$C$16</f>
        <v>1.2113608650000001</v>
      </c>
      <c r="BO22" s="1714">
        <f>'lon undervisning'!$C$16</f>
        <v>1.2113608650000001</v>
      </c>
      <c r="BP22" s="1714">
        <f>'lon undervisning'!$C$16</f>
        <v>1.2113608650000001</v>
      </c>
      <c r="BQ22" s="1714">
        <f>'lon undervisning'!$C$16</f>
        <v>1.2113608650000001</v>
      </c>
      <c r="BR22" s="1714">
        <f>'lon undervisning'!$C$16</f>
        <v>1.2113608650000001</v>
      </c>
      <c r="BS22" s="1714">
        <f>'lon undervisning'!$C$16</f>
        <v>1.2113608650000001</v>
      </c>
      <c r="BT22" s="1714">
        <f>'lon undervisning'!$C$16</f>
        <v>1.2113608650000001</v>
      </c>
      <c r="BU22" s="1714">
        <f>'lon undervisning'!$C$16</f>
        <v>1.2113608650000001</v>
      </c>
      <c r="BV22" s="1714">
        <f>'lon undervisning'!$C$16</f>
        <v>1.2113608650000001</v>
      </c>
      <c r="BW22" s="1714">
        <f>'lon undervisning'!$C$16</f>
        <v>1.2113608650000001</v>
      </c>
      <c r="BX22" s="1782">
        <f>'lon undervisning'!$C$16</f>
        <v>1.2113608650000001</v>
      </c>
      <c r="BY22" s="1681">
        <f>'lon undervisning'!$C$16</f>
        <v>1.2113608650000001</v>
      </c>
      <c r="BZ22" s="1715">
        <f>'lon undervisning'!$C$16</f>
        <v>1.2113608650000001</v>
      </c>
      <c r="CA22" s="1681">
        <f>'lon undervisning'!$C$16</f>
        <v>1.2113608650000001</v>
      </c>
      <c r="CB22" s="1714">
        <f>'lon undervisning'!$C$16</f>
        <v>1.2113608650000001</v>
      </c>
      <c r="CC22" s="1714">
        <f>'lon undervisning'!$C$16</f>
        <v>1.2113608650000001</v>
      </c>
      <c r="CD22" s="1714">
        <f>'lon undervisning'!$C$16</f>
        <v>1.2113608650000001</v>
      </c>
      <c r="CE22" s="1715">
        <f>'lon undervisning'!$C$16</f>
        <v>1.2113608650000001</v>
      </c>
      <c r="CF22" s="1681">
        <f>'lon undervisning'!$C$16</f>
        <v>1.2113608650000001</v>
      </c>
      <c r="CG22" s="1715">
        <f>'lon undervisning'!$C$16</f>
        <v>1.2113608650000001</v>
      </c>
      <c r="CH22" s="100" t="str">
        <f>'lon undervisning'!AD16&amp;". Rettes på lærerarket."</f>
        <v>. Rettes på lærerarket.</v>
      </c>
      <c r="CM22" s="1189" t="s">
        <v>1096</v>
      </c>
      <c r="CN22" s="1202"/>
      <c r="CO22" s="1208">
        <f>SUM(C106:S106)</f>
        <v>0</v>
      </c>
      <c r="CP22" s="1212" t="s">
        <v>1096</v>
      </c>
      <c r="CQ22" s="1202"/>
      <c r="CR22" s="1213">
        <f>SUM(V106:AI106)</f>
        <v>0</v>
      </c>
      <c r="CS22" s="1220" t="s">
        <v>1212</v>
      </c>
      <c r="CT22" s="1202"/>
      <c r="CU22" s="1197">
        <f>AU85</f>
        <v>0</v>
      </c>
      <c r="CV22" s="1206" t="s">
        <v>1212</v>
      </c>
      <c r="CW22" s="1202"/>
      <c r="CX22" s="1195">
        <f>BM85</f>
        <v>0</v>
      </c>
      <c r="CY22" s="1231" t="s">
        <v>1212</v>
      </c>
      <c r="CZ22" s="1202"/>
      <c r="DA22" s="1232">
        <f>BZ85</f>
        <v>0</v>
      </c>
      <c r="DB22" s="1239" t="s">
        <v>1212</v>
      </c>
      <c r="DC22" s="1202"/>
      <c r="DD22" s="1240">
        <f>CG85</f>
        <v>0</v>
      </c>
      <c r="DE22" s="1820" t="s">
        <v>1212</v>
      </c>
      <c r="DF22" s="1202"/>
      <c r="DG22" s="1821">
        <f>SUM(BG85)</f>
        <v>0</v>
      </c>
    </row>
    <row r="23" spans="1:118" ht="24" customHeight="1">
      <c r="A23" s="2882" t="s">
        <v>101</v>
      </c>
      <c r="B23" s="2882"/>
      <c r="C23" s="2219">
        <f>'lon undervisning'!$C$17</f>
        <v>0</v>
      </c>
      <c r="D23" s="1717">
        <f>'lon undervisning'!$C$17</f>
        <v>0</v>
      </c>
      <c r="E23" s="1682">
        <f>'lon undervisning'!$C$17</f>
        <v>0</v>
      </c>
      <c r="F23" s="1716">
        <f>'lon undervisning'!$C$17</f>
        <v>0</v>
      </c>
      <c r="G23" s="1716">
        <f>'lon undervisning'!$C$17</f>
        <v>0</v>
      </c>
      <c r="H23" s="1716">
        <f>'lon undervisning'!$C$17</f>
        <v>0</v>
      </c>
      <c r="I23" s="1716">
        <f>'lon undervisning'!$C$17</f>
        <v>0</v>
      </c>
      <c r="J23" s="1716">
        <f>'lon undervisning'!$C$17</f>
        <v>0</v>
      </c>
      <c r="K23" s="1716">
        <f>'lon undervisning'!$C$17</f>
        <v>0</v>
      </c>
      <c r="L23" s="1716">
        <f>'lon undervisning'!$C$17</f>
        <v>0</v>
      </c>
      <c r="M23" s="1716">
        <f>'lon undervisning'!$C$17</f>
        <v>0</v>
      </c>
      <c r="N23" s="1716">
        <f>'lon undervisning'!$C$17</f>
        <v>0</v>
      </c>
      <c r="O23" s="1716">
        <f>'lon undervisning'!$C$17</f>
        <v>0</v>
      </c>
      <c r="P23" s="1716">
        <f>'lon undervisning'!$C$17</f>
        <v>0</v>
      </c>
      <c r="Q23" s="1716">
        <f>'lon undervisning'!$C$17</f>
        <v>0</v>
      </c>
      <c r="R23" s="1716">
        <f>'lon undervisning'!$C$17</f>
        <v>0</v>
      </c>
      <c r="S23" s="1717">
        <f>'lon undervisning'!$C$17</f>
        <v>0</v>
      </c>
      <c r="T23" s="1682">
        <f>'lon undervisning'!$C$17</f>
        <v>0</v>
      </c>
      <c r="U23" s="1717">
        <f>'lon undervisning'!$C$17</f>
        <v>0</v>
      </c>
      <c r="V23" s="1682">
        <f>'lon undervisning'!$C$17</f>
        <v>0</v>
      </c>
      <c r="W23" s="1717">
        <f>'lon undervisning'!$C$17</f>
        <v>0</v>
      </c>
      <c r="X23" s="1739">
        <f>'lon undervisning'!$C$17</f>
        <v>0</v>
      </c>
      <c r="Y23" s="1716">
        <f>'lon undervisning'!$C$17</f>
        <v>0</v>
      </c>
      <c r="Z23" s="1716">
        <f>'lon undervisning'!$C$17</f>
        <v>0</v>
      </c>
      <c r="AA23" s="1716">
        <f>'lon undervisning'!$C$17</f>
        <v>0</v>
      </c>
      <c r="AB23" s="1716">
        <f>'lon undervisning'!$C$17</f>
        <v>0</v>
      </c>
      <c r="AC23" s="1716">
        <f>'lon undervisning'!$C$17</f>
        <v>0</v>
      </c>
      <c r="AD23" s="1716">
        <f>'lon undervisning'!$C$17</f>
        <v>0</v>
      </c>
      <c r="AE23" s="1716">
        <f>'lon undervisning'!$C$17</f>
        <v>0</v>
      </c>
      <c r="AF23" s="1716">
        <f>'lon undervisning'!$C$17</f>
        <v>0</v>
      </c>
      <c r="AG23" s="1717">
        <f>'lon undervisning'!$C$17</f>
        <v>0</v>
      </c>
      <c r="AH23" s="1682">
        <f>'lon undervisning'!$C$17</f>
        <v>0</v>
      </c>
      <c r="AI23" s="1717">
        <f>'lon undervisning'!$C$17</f>
        <v>0</v>
      </c>
      <c r="AJ23" s="1682">
        <f>'lon undervisning'!$C$17</f>
        <v>0</v>
      </c>
      <c r="AK23" s="1716">
        <f>'lon undervisning'!$C$17</f>
        <v>0</v>
      </c>
      <c r="AL23" s="1716">
        <f>'lon undervisning'!$C$17</f>
        <v>0</v>
      </c>
      <c r="AM23" s="1716">
        <f>'lon undervisning'!$C$17</f>
        <v>0</v>
      </c>
      <c r="AN23" s="1716">
        <f>'lon undervisning'!$C$17</f>
        <v>0</v>
      </c>
      <c r="AO23" s="1716">
        <f>'lon undervisning'!$C$17</f>
        <v>0</v>
      </c>
      <c r="AP23" s="1716">
        <f>'lon undervisning'!$C$17</f>
        <v>0</v>
      </c>
      <c r="AQ23" s="1716">
        <f>'lon undervisning'!$C$17</f>
        <v>0</v>
      </c>
      <c r="AR23" s="1716">
        <f>'lon undervisning'!$C$17</f>
        <v>0</v>
      </c>
      <c r="AS23" s="1717">
        <f>'lon undervisning'!$C$17</f>
        <v>0</v>
      </c>
      <c r="AT23" s="1682">
        <f>'lon undervisning'!$C$17</f>
        <v>0</v>
      </c>
      <c r="AU23" s="1717">
        <f>'lon undervisning'!$C$17</f>
        <v>0</v>
      </c>
      <c r="AV23" s="1682">
        <f>'lon undervisning'!$C$17</f>
        <v>0</v>
      </c>
      <c r="AW23" s="1716">
        <f>'lon undervisning'!$C$17</f>
        <v>0</v>
      </c>
      <c r="AX23" s="1716">
        <f>'lon undervisning'!$C$17</f>
        <v>0</v>
      </c>
      <c r="AY23" s="1716">
        <f>'lon undervisning'!$C$17</f>
        <v>0</v>
      </c>
      <c r="AZ23" s="1716">
        <f>'lon undervisning'!$C$17</f>
        <v>0</v>
      </c>
      <c r="BA23" s="1716">
        <f>'lon undervisning'!$C$17</f>
        <v>0</v>
      </c>
      <c r="BB23" s="1716">
        <f>'lon undervisning'!$C$17</f>
        <v>0</v>
      </c>
      <c r="BC23" s="1716">
        <f>'lon undervisning'!$C$17</f>
        <v>0</v>
      </c>
      <c r="BD23" s="1716">
        <f>'lon undervisning'!$C$17</f>
        <v>0</v>
      </c>
      <c r="BE23" s="1783">
        <f>'lon undervisning'!$C$17</f>
        <v>0</v>
      </c>
      <c r="BF23" s="1682">
        <f>'lon undervisning'!$C$17</f>
        <v>0</v>
      </c>
      <c r="BG23" s="1717">
        <f>'lon undervisning'!$C$17</f>
        <v>0</v>
      </c>
      <c r="BH23" s="1682">
        <f>'lon undervisning'!$C$17</f>
        <v>0</v>
      </c>
      <c r="BI23" s="1716">
        <f>'lon undervisning'!$C$17</f>
        <v>0</v>
      </c>
      <c r="BJ23" s="1716">
        <f>'lon undervisning'!$C$17</f>
        <v>0</v>
      </c>
      <c r="BK23" s="1717">
        <f>'lon undervisning'!$C$17</f>
        <v>0</v>
      </c>
      <c r="BL23" s="1682">
        <f>'lon undervisning'!$C$17</f>
        <v>0</v>
      </c>
      <c r="BM23" s="1717">
        <f>'lon undervisning'!$C$17</f>
        <v>0</v>
      </c>
      <c r="BN23" s="1682">
        <f>'lon undervisning'!$C$17</f>
        <v>0</v>
      </c>
      <c r="BO23" s="1716">
        <f>'lon undervisning'!$C$17</f>
        <v>0</v>
      </c>
      <c r="BP23" s="1716">
        <f>'lon undervisning'!$C$17</f>
        <v>0</v>
      </c>
      <c r="BQ23" s="1716">
        <f>'lon undervisning'!$C$17</f>
        <v>0</v>
      </c>
      <c r="BR23" s="1716">
        <f>'lon undervisning'!$C$17</f>
        <v>0</v>
      </c>
      <c r="BS23" s="1716">
        <f>'lon undervisning'!$C$17</f>
        <v>0</v>
      </c>
      <c r="BT23" s="1716">
        <f>'lon undervisning'!$C$17</f>
        <v>0</v>
      </c>
      <c r="BU23" s="1716">
        <f>'lon undervisning'!$C$17</f>
        <v>0</v>
      </c>
      <c r="BV23" s="1716">
        <f>'lon undervisning'!$C$17</f>
        <v>0</v>
      </c>
      <c r="BW23" s="1716">
        <f>'lon undervisning'!$C$17</f>
        <v>0</v>
      </c>
      <c r="BX23" s="1783">
        <f>'lon undervisning'!$C$17</f>
        <v>0</v>
      </c>
      <c r="BY23" s="1682">
        <f>'lon undervisning'!$C$17</f>
        <v>0</v>
      </c>
      <c r="BZ23" s="1717">
        <f>'lon undervisning'!$C$17</f>
        <v>0</v>
      </c>
      <c r="CA23" s="1682">
        <f>'lon undervisning'!$C$17</f>
        <v>0</v>
      </c>
      <c r="CB23" s="1716">
        <f>'lon undervisning'!$C$17</f>
        <v>0</v>
      </c>
      <c r="CC23" s="1716">
        <f>'lon undervisning'!$C$17</f>
        <v>0</v>
      </c>
      <c r="CD23" s="1716">
        <f>'lon undervisning'!$C$17</f>
        <v>0</v>
      </c>
      <c r="CE23" s="1717">
        <f>'lon undervisning'!$C$17</f>
        <v>0</v>
      </c>
      <c r="CF23" s="1682">
        <f>'lon undervisning'!$C$17</f>
        <v>0</v>
      </c>
      <c r="CG23" s="1717">
        <f>'lon undervisning'!$C$17</f>
        <v>0</v>
      </c>
      <c r="CH23" s="99" t="s">
        <v>333</v>
      </c>
      <c r="CM23" s="1405" t="s">
        <v>1421</v>
      </c>
      <c r="CN23" s="1406"/>
      <c r="CO23" s="1552">
        <f>SUM(C108:U108)</f>
        <v>0</v>
      </c>
      <c r="CP23" s="1553" t="str">
        <f>CM23</f>
        <v>Seniorbonusordning</v>
      </c>
      <c r="CQ23" s="1406"/>
      <c r="CR23" s="1554">
        <f>SUM(V108:AI108)</f>
        <v>0</v>
      </c>
      <c r="CS23" s="1563" t="str">
        <f>CP23</f>
        <v>Seniorbonusordning</v>
      </c>
      <c r="CT23" s="1406"/>
      <c r="CU23" s="1564">
        <f>SUM(AJ108:AU108)</f>
        <v>0</v>
      </c>
      <c r="CV23" s="1565" t="s">
        <v>1386</v>
      </c>
      <c r="CW23" s="1406"/>
      <c r="CX23" s="1566">
        <f>SUM(BH112:BM112)+SUM(BH108:BM108)</f>
        <v>0</v>
      </c>
      <c r="CY23" s="1567" t="s">
        <v>1386</v>
      </c>
      <c r="CZ23" s="1406"/>
      <c r="DA23" s="1568">
        <f>SUM(BN112:BX112)+SUM(BN108:BZ108)</f>
        <v>0</v>
      </c>
      <c r="DB23" s="1569" t="s">
        <v>1386</v>
      </c>
      <c r="DC23" s="1406"/>
      <c r="DD23" s="1570">
        <f>SUM(CA112:CG112)+SUM(CA108:CG108)</f>
        <v>0</v>
      </c>
      <c r="DE23" s="1822" t="str">
        <f>DB23</f>
        <v>Seniorbonus</v>
      </c>
      <c r="DF23" s="1406"/>
      <c r="DG23" s="1823">
        <f>SUM(AV108:BG108)</f>
        <v>0</v>
      </c>
    </row>
    <row r="24" spans="1:118" ht="24" customHeight="1">
      <c r="A24" s="2882" t="s">
        <v>1334</v>
      </c>
      <c r="B24" s="2882"/>
      <c r="C24" s="2220"/>
      <c r="D24" s="1744"/>
      <c r="E24" s="1718"/>
      <c r="F24" s="1517"/>
      <c r="G24" s="1517"/>
      <c r="H24" s="1517"/>
      <c r="I24" s="1517"/>
      <c r="J24" s="1517"/>
      <c r="K24" s="1517"/>
      <c r="L24" s="1517"/>
      <c r="M24" s="1517"/>
      <c r="N24" s="1517"/>
      <c r="O24" s="1517"/>
      <c r="P24" s="1517"/>
      <c r="Q24" s="1517"/>
      <c r="R24" s="1517"/>
      <c r="S24" s="1744"/>
      <c r="T24" s="1683"/>
      <c r="U24" s="1719"/>
      <c r="V24" s="1718"/>
      <c r="W24" s="1744"/>
      <c r="X24" s="2279"/>
      <c r="Y24" s="2279"/>
      <c r="Z24" s="2280"/>
      <c r="AA24" s="2280"/>
      <c r="AB24" s="1517"/>
      <c r="AC24" s="1517"/>
      <c r="AD24" s="1517"/>
      <c r="AE24" s="1517"/>
      <c r="AF24" s="1517"/>
      <c r="AG24" s="1744"/>
      <c r="AH24" s="1683"/>
      <c r="AI24" s="1719"/>
      <c r="AJ24" s="1718"/>
      <c r="AK24" s="1517"/>
      <c r="AL24" s="1517"/>
      <c r="AM24" s="1517"/>
      <c r="AN24" s="1517"/>
      <c r="AO24" s="1517"/>
      <c r="AP24" s="1517"/>
      <c r="AQ24" s="1517"/>
      <c r="AR24" s="1517"/>
      <c r="AS24" s="1744"/>
      <c r="AT24" s="1683"/>
      <c r="AU24" s="1719"/>
      <c r="AV24" s="1718"/>
      <c r="AW24" s="1517"/>
      <c r="AX24" s="1517"/>
      <c r="AY24" s="1517"/>
      <c r="AZ24" s="1517"/>
      <c r="BA24" s="1517"/>
      <c r="BB24" s="1517"/>
      <c r="BC24" s="1517"/>
      <c r="BD24" s="1517"/>
      <c r="BE24" s="1784"/>
      <c r="BF24" s="1683"/>
      <c r="BG24" s="1719"/>
      <c r="BH24" s="1718"/>
      <c r="BI24" s="1517"/>
      <c r="BJ24" s="1517"/>
      <c r="BK24" s="1744"/>
      <c r="BL24" s="1683"/>
      <c r="BM24" s="1719"/>
      <c r="BN24" s="1718"/>
      <c r="BO24" s="1517"/>
      <c r="BP24" s="1517"/>
      <c r="BQ24" s="1517"/>
      <c r="BR24" s="1517"/>
      <c r="BS24" s="1517"/>
      <c r="BT24" s="1517"/>
      <c r="BU24" s="1517"/>
      <c r="BV24" s="1517"/>
      <c r="BW24" s="1517"/>
      <c r="BX24" s="1784"/>
      <c r="BY24" s="1683"/>
      <c r="BZ24" s="1719"/>
      <c r="CA24" s="1718"/>
      <c r="CB24" s="1517"/>
      <c r="CC24" s="1517"/>
      <c r="CD24" s="1517"/>
      <c r="CE24" s="1744"/>
      <c r="CF24" s="1683"/>
      <c r="CG24" s="1719"/>
      <c r="CH24" s="98" t="s">
        <v>334</v>
      </c>
      <c r="CM24" s="1189" t="s">
        <v>738</v>
      </c>
      <c r="CN24" s="1202"/>
      <c r="CO24" s="1208">
        <f>SUM(C109:U109)</f>
        <v>0</v>
      </c>
      <c r="CP24" s="1212" t="s">
        <v>738</v>
      </c>
      <c r="CQ24" s="1202"/>
      <c r="CR24" s="1213">
        <f>SUM(V109:AI109)</f>
        <v>0</v>
      </c>
      <c r="CS24" s="1191" t="s">
        <v>1239</v>
      </c>
      <c r="CT24" s="1191"/>
      <c r="CU24" s="1207">
        <f>SUM(CU7:CU22)</f>
        <v>0</v>
      </c>
      <c r="CV24" s="1194" t="s">
        <v>1238</v>
      </c>
      <c r="CW24" s="1194"/>
      <c r="CX24" s="1223">
        <f>SUM(CX7:CX23)</f>
        <v>0</v>
      </c>
      <c r="CY24" s="1230" t="s">
        <v>1237</v>
      </c>
      <c r="CZ24" s="1230"/>
      <c r="DA24" s="1229">
        <f>SUM(DA7:DA23)</f>
        <v>0</v>
      </c>
      <c r="DB24" s="1238" t="s">
        <v>1236</v>
      </c>
      <c r="DC24" s="1238"/>
      <c r="DD24" s="1237">
        <f>SUM(DD7:DD23)</f>
        <v>0</v>
      </c>
      <c r="DE24" s="1815" t="s">
        <v>1356</v>
      </c>
      <c r="DF24" s="1815"/>
      <c r="DG24" s="1814">
        <f>SUM(DG7:DG22)</f>
        <v>0</v>
      </c>
    </row>
    <row r="25" spans="1:118" ht="30" customHeight="1">
      <c r="A25" s="2881" t="s">
        <v>1376</v>
      </c>
      <c r="B25" s="2881"/>
      <c r="C25" s="2221"/>
      <c r="D25" s="1745"/>
      <c r="E25" s="1684"/>
      <c r="F25" s="1549"/>
      <c r="G25" s="1549"/>
      <c r="H25" s="1549"/>
      <c r="I25" s="1549"/>
      <c r="J25" s="1549"/>
      <c r="K25" s="1549"/>
      <c r="L25" s="1549"/>
      <c r="M25" s="1549"/>
      <c r="N25" s="1549"/>
      <c r="O25" s="1549"/>
      <c r="P25" s="1549"/>
      <c r="Q25" s="1549"/>
      <c r="R25" s="1549"/>
      <c r="S25" s="1745"/>
      <c r="T25" s="1683"/>
      <c r="U25" s="1719"/>
      <c r="V25" s="1684"/>
      <c r="W25" s="1745"/>
      <c r="X25" s="1740"/>
      <c r="Y25" s="1549"/>
      <c r="Z25" s="1549"/>
      <c r="AA25" s="1549"/>
      <c r="AB25" s="1549"/>
      <c r="AC25" s="1549"/>
      <c r="AD25" s="1549"/>
      <c r="AE25" s="1549"/>
      <c r="AF25" s="1549"/>
      <c r="AG25" s="1745"/>
      <c r="AH25" s="1683"/>
      <c r="AI25" s="1719"/>
      <c r="AJ25" s="1684"/>
      <c r="AK25" s="1549"/>
      <c r="AL25" s="1549"/>
      <c r="AM25" s="1549"/>
      <c r="AN25" s="1549"/>
      <c r="AO25" s="1549"/>
      <c r="AP25" s="1549"/>
      <c r="AQ25" s="1549"/>
      <c r="AR25" s="1549"/>
      <c r="AS25" s="1745"/>
      <c r="AT25" s="1683"/>
      <c r="AU25" s="1719"/>
      <c r="AV25" s="1684"/>
      <c r="AW25" s="1549"/>
      <c r="AX25" s="1549"/>
      <c r="AY25" s="1549"/>
      <c r="AZ25" s="1549"/>
      <c r="BA25" s="1549"/>
      <c r="BB25" s="1549"/>
      <c r="BC25" s="1549"/>
      <c r="BD25" s="1549"/>
      <c r="BE25" s="1785"/>
      <c r="BF25" s="1683"/>
      <c r="BG25" s="1719"/>
      <c r="BH25" s="1684"/>
      <c r="BI25" s="1549"/>
      <c r="BJ25" s="1549"/>
      <c r="BK25" s="1745"/>
      <c r="BL25" s="1683"/>
      <c r="BM25" s="1719"/>
      <c r="BN25" s="1684"/>
      <c r="BO25" s="1549"/>
      <c r="BP25" s="1549"/>
      <c r="BQ25" s="1549"/>
      <c r="BR25" s="1549"/>
      <c r="BS25" s="1549"/>
      <c r="BT25" s="1549"/>
      <c r="BU25" s="1549"/>
      <c r="BV25" s="1549"/>
      <c r="BW25" s="1549"/>
      <c r="BX25" s="1785"/>
      <c r="BY25" s="1683"/>
      <c r="BZ25" s="1719"/>
      <c r="CA25" s="1684"/>
      <c r="CB25" s="1549"/>
      <c r="CC25" s="1549"/>
      <c r="CD25" s="1549"/>
      <c r="CE25" s="1745"/>
      <c r="CF25" s="1683"/>
      <c r="CG25" s="1719"/>
      <c r="CM25" s="1189" t="s">
        <v>699</v>
      </c>
      <c r="CN25" s="1202"/>
      <c r="CO25" s="1208">
        <f>SUM(C110:U110)</f>
        <v>0</v>
      </c>
      <c r="CP25" s="1212" t="s">
        <v>699</v>
      </c>
      <c r="CQ25" s="1202"/>
      <c r="CR25" s="1213">
        <f>SUM(V110:AI110)</f>
        <v>0</v>
      </c>
      <c r="CS25" s="1191" t="s">
        <v>1211</v>
      </c>
      <c r="CT25" s="1191"/>
      <c r="CU25" s="1207">
        <f>AU56+AU85-CU24+SUM(AT82:AU82)</f>
        <v>0</v>
      </c>
      <c r="CV25" s="1194" t="s">
        <v>1211</v>
      </c>
      <c r="CW25" s="1194"/>
      <c r="CX25" s="1223">
        <f>BM56+BM85-CX24+SUM(BL82:BM82)</f>
        <v>0</v>
      </c>
      <c r="CY25" s="1230" t="s">
        <v>1211</v>
      </c>
      <c r="CZ25" s="1230"/>
      <c r="DA25" s="1229">
        <f>BZ56+BZ85-DA24+SUM(BY82:BZ82)</f>
        <v>0</v>
      </c>
      <c r="DB25" s="1238" t="s">
        <v>1211</v>
      </c>
      <c r="DC25" s="1238"/>
      <c r="DD25" s="1237">
        <f>CG56+CG85-DD24+SUM(CF82:CG82)</f>
        <v>0</v>
      </c>
      <c r="DE25" s="1815" t="s">
        <v>1211</v>
      </c>
      <c r="DF25" s="1815"/>
      <c r="DG25" s="1814">
        <f>BG56+BF82+BG82+BG85-DG24</f>
        <v>0</v>
      </c>
    </row>
    <row r="26" spans="1:118" ht="24" customHeight="1">
      <c r="A26" s="2882" t="s">
        <v>1107</v>
      </c>
      <c r="B26" s="2882"/>
      <c r="C26" s="2222">
        <f t="shared" ref="C26:S26" si="8">IF(C7&gt;0,ROUND((ROUND(VLOOKUP(C7,skalalontabel,C23,0)*C22,0))/12,2),0)</f>
        <v>0</v>
      </c>
      <c r="D26" s="1721">
        <f t="shared" si="8"/>
        <v>0</v>
      </c>
      <c r="E26" s="1577">
        <f t="shared" si="8"/>
        <v>0</v>
      </c>
      <c r="F26" s="1720">
        <f t="shared" si="8"/>
        <v>0</v>
      </c>
      <c r="G26" s="1720">
        <f t="shared" si="8"/>
        <v>0</v>
      </c>
      <c r="H26" s="1720">
        <f t="shared" si="8"/>
        <v>0</v>
      </c>
      <c r="I26" s="1720">
        <f t="shared" si="8"/>
        <v>0</v>
      </c>
      <c r="J26" s="1720">
        <f t="shared" si="8"/>
        <v>0</v>
      </c>
      <c r="K26" s="1720">
        <f t="shared" si="8"/>
        <v>0</v>
      </c>
      <c r="L26" s="1720">
        <f t="shared" si="8"/>
        <v>0</v>
      </c>
      <c r="M26" s="1720">
        <f t="shared" si="8"/>
        <v>0</v>
      </c>
      <c r="N26" s="1720">
        <f t="shared" si="8"/>
        <v>0</v>
      </c>
      <c r="O26" s="1720">
        <f t="shared" si="8"/>
        <v>0</v>
      </c>
      <c r="P26" s="1720">
        <f t="shared" si="8"/>
        <v>0</v>
      </c>
      <c r="Q26" s="1720">
        <f t="shared" si="8"/>
        <v>0</v>
      </c>
      <c r="R26" s="1720">
        <f t="shared" si="8"/>
        <v>0</v>
      </c>
      <c r="S26" s="1721">
        <f t="shared" si="8"/>
        <v>0</v>
      </c>
      <c r="T26" s="1577">
        <f>IF(T7&gt;0,ROUND((ROUND(VLOOKUP(T7,skalalontabel,T23,0)*T22,0))/12,2),T8*T22*T9)</f>
        <v>0</v>
      </c>
      <c r="U26" s="1721">
        <f>IF(U7&gt;0,ROUND((ROUND(VLOOKUP(U7,skalalontabel,U23,0)*U22,0))/12,2),U8*U22*U9)</f>
        <v>0</v>
      </c>
      <c r="V26" s="1577">
        <f t="shared" ref="V26:AG26" si="9">IF(V7&gt;0,ROUND((ROUND(VLOOKUP(V7,skalalontabel,V23,0)*V22,0))/12,2),0)</f>
        <v>0</v>
      </c>
      <c r="W26" s="1721">
        <f t="shared" si="9"/>
        <v>0</v>
      </c>
      <c r="X26" s="1741">
        <f t="shared" si="9"/>
        <v>0</v>
      </c>
      <c r="Y26" s="1720">
        <f t="shared" si="9"/>
        <v>0</v>
      </c>
      <c r="Z26" s="1720">
        <f t="shared" si="9"/>
        <v>0</v>
      </c>
      <c r="AA26" s="1720">
        <f t="shared" si="9"/>
        <v>0</v>
      </c>
      <c r="AB26" s="1720">
        <f t="shared" si="9"/>
        <v>0</v>
      </c>
      <c r="AC26" s="1720">
        <f t="shared" si="9"/>
        <v>0</v>
      </c>
      <c r="AD26" s="1720">
        <f t="shared" si="9"/>
        <v>0</v>
      </c>
      <c r="AE26" s="1720">
        <f t="shared" si="9"/>
        <v>0</v>
      </c>
      <c r="AF26" s="1720">
        <f t="shared" si="9"/>
        <v>0</v>
      </c>
      <c r="AG26" s="1721">
        <f t="shared" si="9"/>
        <v>0</v>
      </c>
      <c r="AH26" s="1577">
        <f>IF(AH7&gt;0,ROUND((ROUND(VLOOKUP(AH7,skalalontabel,AH23,0)*AH22,0))/12,2),AH8*AH22*AH9)</f>
        <v>0</v>
      </c>
      <c r="AI26" s="1721">
        <f>IF(AI7&gt;0,ROUND((ROUND(VLOOKUP(AI7,skalalontabel,AI23,0)*AI22,0))/12,2),AI8*AI22*AI9)</f>
        <v>0</v>
      </c>
      <c r="AJ26" s="1577">
        <f t="shared" ref="AJ26:AS26" si="10">IF(AJ7&gt;0,ROUND((ROUND(VLOOKUP(AJ7,skalalontabel,AJ23,0)*AJ22,0))/12,2),0)</f>
        <v>0</v>
      </c>
      <c r="AK26" s="1720">
        <f t="shared" si="10"/>
        <v>0</v>
      </c>
      <c r="AL26" s="1720">
        <f t="shared" si="10"/>
        <v>0</v>
      </c>
      <c r="AM26" s="1720">
        <f t="shared" si="10"/>
        <v>0</v>
      </c>
      <c r="AN26" s="1720">
        <f t="shared" si="10"/>
        <v>0</v>
      </c>
      <c r="AO26" s="1720">
        <f t="shared" si="10"/>
        <v>0</v>
      </c>
      <c r="AP26" s="1720">
        <f t="shared" si="10"/>
        <v>0</v>
      </c>
      <c r="AQ26" s="1720">
        <f t="shared" si="10"/>
        <v>0</v>
      </c>
      <c r="AR26" s="1720">
        <f t="shared" si="10"/>
        <v>0</v>
      </c>
      <c r="AS26" s="1721">
        <f t="shared" si="10"/>
        <v>0</v>
      </c>
      <c r="AT26" s="1577">
        <f>IF(AT7&gt;0,ROUND((ROUND(VLOOKUP(AT7,skalalontabel,AT23,0)*AT22,0))/12,2),AT8*AT22*AT9)</f>
        <v>0</v>
      </c>
      <c r="AU26" s="1721">
        <f>IF(AU7&gt;0,ROUND((ROUND(VLOOKUP(AU7,skalalontabel,AU23,0)*AU22,0))/12,2),AU8*AU22*AU9)</f>
        <v>0</v>
      </c>
      <c r="AV26" s="1577">
        <f t="shared" ref="AV26:BE26" si="11">IF(AV7&gt;0,ROUND((ROUND(VLOOKUP(AV7,skalalontabel,AV23,0)*AV22,0))/12,2),0)</f>
        <v>0</v>
      </c>
      <c r="AW26" s="1720">
        <f t="shared" si="11"/>
        <v>0</v>
      </c>
      <c r="AX26" s="1720">
        <f t="shared" si="11"/>
        <v>0</v>
      </c>
      <c r="AY26" s="1720">
        <f t="shared" si="11"/>
        <v>0</v>
      </c>
      <c r="AZ26" s="1720">
        <f t="shared" si="11"/>
        <v>0</v>
      </c>
      <c r="BA26" s="1720">
        <f t="shared" si="11"/>
        <v>0</v>
      </c>
      <c r="BB26" s="1720">
        <f t="shared" si="11"/>
        <v>0</v>
      </c>
      <c r="BC26" s="1720">
        <f t="shared" si="11"/>
        <v>0</v>
      </c>
      <c r="BD26" s="1720">
        <f t="shared" si="11"/>
        <v>0</v>
      </c>
      <c r="BE26" s="1786">
        <f t="shared" si="11"/>
        <v>0</v>
      </c>
      <c r="BF26" s="1577">
        <f>IF(BF7&gt;0,ROUND((ROUND(VLOOKUP(BF7,skalalontabel,BF23,0)*BF22,0))/12,2),BF8*BF22*BF9)</f>
        <v>0</v>
      </c>
      <c r="BG26" s="1721">
        <f>IF(BG7&gt;0,ROUND((ROUND(VLOOKUP(BG7,skalalontabel,BG23,0)*BG22,0))/12,2),BG8*BG22*BG9)</f>
        <v>0</v>
      </c>
      <c r="BH26" s="1577">
        <f>IF(BH7&gt;0,ROUND((ROUND(VLOOKUP(BH7,skalalontabel,BH23,0)*BH22,0))/12,2),0)</f>
        <v>0</v>
      </c>
      <c r="BI26" s="1720">
        <f>IF(BI7&gt;0,ROUND((ROUND(VLOOKUP(BI7,skalalontabel,BI23,0)*BI22,0))/12,2),0)</f>
        <v>0</v>
      </c>
      <c r="BJ26" s="1720">
        <f>IF(BJ7&gt;0,ROUND((ROUND(VLOOKUP(BJ7,skalalontabel,BJ23,0)*BJ22,0))/12,2),0)</f>
        <v>0</v>
      </c>
      <c r="BK26" s="1721">
        <f>IF(BK7&gt;0,ROUND((ROUND(VLOOKUP(BK7,skalalontabel,BK23,0)*BK22,0))/12,2),0)</f>
        <v>0</v>
      </c>
      <c r="BL26" s="1577">
        <f>IF(BL7&gt;0,ROUND((ROUND(VLOOKUP(BL7,skalalontabel,BL23,0)*BL22,0))/12,2),BL8*BL22*BL9)</f>
        <v>0</v>
      </c>
      <c r="BM26" s="1721">
        <f>IF(BM7&gt;0,ROUND((ROUND(VLOOKUP(BM7,skalalontabel,BM23,0)*BM22,0))/12,2),BM8*BM22*BM9)</f>
        <v>0</v>
      </c>
      <c r="BN26" s="1577">
        <f t="shared" ref="BN26:BX26" si="12">IF(BN7&gt;0,ROUND((ROUND(VLOOKUP(BN7,skalalontabel,BN23,0)*BN22,0))/12,2),0)</f>
        <v>0</v>
      </c>
      <c r="BO26" s="1720">
        <f t="shared" si="12"/>
        <v>0</v>
      </c>
      <c r="BP26" s="1720">
        <f t="shared" si="12"/>
        <v>0</v>
      </c>
      <c r="BQ26" s="1720">
        <f t="shared" si="12"/>
        <v>0</v>
      </c>
      <c r="BR26" s="1720">
        <f t="shared" si="12"/>
        <v>0</v>
      </c>
      <c r="BS26" s="1720">
        <f t="shared" si="12"/>
        <v>0</v>
      </c>
      <c r="BT26" s="1720">
        <f t="shared" si="12"/>
        <v>0</v>
      </c>
      <c r="BU26" s="1720">
        <f t="shared" si="12"/>
        <v>0</v>
      </c>
      <c r="BV26" s="1720">
        <f t="shared" si="12"/>
        <v>0</v>
      </c>
      <c r="BW26" s="1720">
        <f t="shared" si="12"/>
        <v>0</v>
      </c>
      <c r="BX26" s="1786">
        <f t="shared" si="12"/>
        <v>0</v>
      </c>
      <c r="BY26" s="1577">
        <f>IF(BY7&gt;0,ROUND((ROUND(VLOOKUP(BY7,skalalontabel,BY23,0)*BY22,0))/12,2),BY8*BY22*BY9)</f>
        <v>0</v>
      </c>
      <c r="BZ26" s="1721">
        <f>IF(BZ7&gt;0,ROUND((ROUND(VLOOKUP(BZ7,skalalontabel,BZ23,0)*BZ22,0))/12,2),BZ8*BZ22*BZ9)</f>
        <v>0</v>
      </c>
      <c r="CA26" s="1577">
        <f>IF(CA7&gt;0,ROUND((ROUND(VLOOKUP(CA7,skalalontabel,CA23,0)*CA22,0))/12,2),0)</f>
        <v>0</v>
      </c>
      <c r="CB26" s="1720">
        <f>IF(CB7&gt;0,ROUND((ROUND(VLOOKUP(CB7,skalalontabel,CB23,0)*CB22,0))/12,2),0)</f>
        <v>0</v>
      </c>
      <c r="CC26" s="1720">
        <f>IF(CC7&gt;0,ROUND((ROUND(VLOOKUP(CC7,skalalontabel,CC23,0)*CC22,0))/12,2),0)</f>
        <v>0</v>
      </c>
      <c r="CD26" s="1720">
        <f>IF(CD7&gt;0,ROUND((ROUND(VLOOKUP(CD7,skalalontabel,CD23,0)*CD22,0))/12,2),0)</f>
        <v>0</v>
      </c>
      <c r="CE26" s="1721">
        <f>IF(CE7&gt;0,ROUND((ROUND(VLOOKUP(CE7,skalalontabel,CE23,0)*CE22,0))/12,2),0)</f>
        <v>0</v>
      </c>
      <c r="CF26" s="1577">
        <f>IF(CF7&gt;0,ROUND((ROUND(VLOOKUP(CF7,skalalontabel,CF23,0)*CF22,0))/12,2),CF8*CF22*CF9)</f>
        <v>0</v>
      </c>
      <c r="CG26" s="1721">
        <f>IF(CG7&gt;0,ROUND((ROUND(VLOOKUP(CG7,skalalontabel,CG23,0)*CG22,0))/12,2),CG8*CG22*CG9)</f>
        <v>0</v>
      </c>
      <c r="CH26" s="98" t="s">
        <v>335</v>
      </c>
      <c r="CM26" s="1260" t="s">
        <v>1385</v>
      </c>
      <c r="CN26" s="1259"/>
      <c r="CO26" s="1261">
        <f>SUM(C111:U111)</f>
        <v>0</v>
      </c>
      <c r="CP26" s="1262" t="str">
        <f>CM26</f>
        <v>Diæter</v>
      </c>
      <c r="CQ26" s="1259"/>
      <c r="CR26" s="1263" cm="1">
        <f t="array" ref="CR26:DE26">V111:AI111</f>
        <v>0</v>
      </c>
      <c r="CS26" s="2312">
        <v>0</v>
      </c>
      <c r="CT26" s="2312">
        <v>0</v>
      </c>
      <c r="CU26" s="2313">
        <v>0</v>
      </c>
      <c r="CV26" s="2312">
        <v>0</v>
      </c>
      <c r="CW26" s="2312">
        <v>0</v>
      </c>
      <c r="CX26" s="2313">
        <v>0</v>
      </c>
      <c r="CY26" s="2312">
        <v>0</v>
      </c>
      <c r="CZ26" s="2312">
        <v>0</v>
      </c>
      <c r="DA26" s="2313">
        <v>0</v>
      </c>
      <c r="DB26" s="2312">
        <v>0</v>
      </c>
      <c r="DC26" s="2312">
        <v>0</v>
      </c>
      <c r="DD26" s="2313">
        <v>0</v>
      </c>
      <c r="DE26" s="801">
        <v>0</v>
      </c>
      <c r="DF26" s="801"/>
      <c r="DG26" s="801"/>
    </row>
    <row r="27" spans="1:118" ht="24" customHeight="1">
      <c r="A27" s="2882" t="s">
        <v>1108</v>
      </c>
      <c r="B27" s="2882"/>
      <c r="C27" s="2222">
        <f t="shared" ref="C27:CE27" si="13">ROUND(C$26*C$24,2)</f>
        <v>0</v>
      </c>
      <c r="D27" s="1721">
        <f t="shared" si="13"/>
        <v>0</v>
      </c>
      <c r="E27" s="1577">
        <f t="shared" si="13"/>
        <v>0</v>
      </c>
      <c r="F27" s="1720">
        <f t="shared" si="13"/>
        <v>0</v>
      </c>
      <c r="G27" s="1720">
        <f t="shared" si="13"/>
        <v>0</v>
      </c>
      <c r="H27" s="1720">
        <f t="shared" si="13"/>
        <v>0</v>
      </c>
      <c r="I27" s="1720">
        <f t="shared" si="13"/>
        <v>0</v>
      </c>
      <c r="J27" s="1720">
        <f t="shared" si="13"/>
        <v>0</v>
      </c>
      <c r="K27" s="1720">
        <f t="shared" si="13"/>
        <v>0</v>
      </c>
      <c r="L27" s="1720">
        <f t="shared" si="13"/>
        <v>0</v>
      </c>
      <c r="M27" s="1720">
        <f t="shared" si="13"/>
        <v>0</v>
      </c>
      <c r="N27" s="1720">
        <f t="shared" si="13"/>
        <v>0</v>
      </c>
      <c r="O27" s="1720">
        <f t="shared" si="13"/>
        <v>0</v>
      </c>
      <c r="P27" s="1720">
        <f t="shared" si="13"/>
        <v>0</v>
      </c>
      <c r="Q27" s="1720">
        <f t="shared" si="13"/>
        <v>0</v>
      </c>
      <c r="R27" s="1720">
        <f t="shared" si="13"/>
        <v>0</v>
      </c>
      <c r="S27" s="1721">
        <f t="shared" si="13"/>
        <v>0</v>
      </c>
      <c r="T27" s="1685"/>
      <c r="U27" s="1723"/>
      <c r="V27" s="1577">
        <f t="shared" si="13"/>
        <v>0</v>
      </c>
      <c r="W27" s="1721">
        <f t="shared" si="13"/>
        <v>0</v>
      </c>
      <c r="X27" s="1741">
        <f t="shared" si="13"/>
        <v>0</v>
      </c>
      <c r="Y27" s="1720">
        <f t="shared" si="13"/>
        <v>0</v>
      </c>
      <c r="Z27" s="1720">
        <f t="shared" si="13"/>
        <v>0</v>
      </c>
      <c r="AA27" s="1720">
        <f t="shared" si="13"/>
        <v>0</v>
      </c>
      <c r="AB27" s="1720">
        <f t="shared" si="13"/>
        <v>0</v>
      </c>
      <c r="AC27" s="1720">
        <f t="shared" si="13"/>
        <v>0</v>
      </c>
      <c r="AD27" s="1720">
        <f t="shared" si="13"/>
        <v>0</v>
      </c>
      <c r="AE27" s="1720">
        <f t="shared" si="13"/>
        <v>0</v>
      </c>
      <c r="AF27" s="1720">
        <f t="shared" si="13"/>
        <v>0</v>
      </c>
      <c r="AG27" s="1721">
        <f t="shared" si="13"/>
        <v>0</v>
      </c>
      <c r="AH27" s="1685"/>
      <c r="AI27" s="1723"/>
      <c r="AJ27" s="1577">
        <f t="shared" si="13"/>
        <v>0</v>
      </c>
      <c r="AK27" s="1720">
        <f t="shared" si="13"/>
        <v>0</v>
      </c>
      <c r="AL27" s="1720">
        <f t="shared" si="13"/>
        <v>0</v>
      </c>
      <c r="AM27" s="1720">
        <f t="shared" si="13"/>
        <v>0</v>
      </c>
      <c r="AN27" s="1720">
        <f t="shared" si="13"/>
        <v>0</v>
      </c>
      <c r="AO27" s="1720">
        <f t="shared" si="13"/>
        <v>0</v>
      </c>
      <c r="AP27" s="1720">
        <f t="shared" si="13"/>
        <v>0</v>
      </c>
      <c r="AQ27" s="1720">
        <f t="shared" si="13"/>
        <v>0</v>
      </c>
      <c r="AR27" s="1720">
        <f t="shared" si="13"/>
        <v>0</v>
      </c>
      <c r="AS27" s="1721">
        <f t="shared" si="13"/>
        <v>0</v>
      </c>
      <c r="AT27" s="1685"/>
      <c r="AU27" s="1723"/>
      <c r="AV27" s="1577">
        <f t="shared" si="13"/>
        <v>0</v>
      </c>
      <c r="AW27" s="1720">
        <f t="shared" si="13"/>
        <v>0</v>
      </c>
      <c r="AX27" s="1720">
        <f t="shared" si="13"/>
        <v>0</v>
      </c>
      <c r="AY27" s="1720">
        <f t="shared" si="13"/>
        <v>0</v>
      </c>
      <c r="AZ27" s="1720">
        <f t="shared" si="13"/>
        <v>0</v>
      </c>
      <c r="BA27" s="1720">
        <f t="shared" si="13"/>
        <v>0</v>
      </c>
      <c r="BB27" s="1720">
        <f t="shared" si="13"/>
        <v>0</v>
      </c>
      <c r="BC27" s="1720">
        <f t="shared" si="13"/>
        <v>0</v>
      </c>
      <c r="BD27" s="1720">
        <f t="shared" si="13"/>
        <v>0</v>
      </c>
      <c r="BE27" s="1786">
        <f t="shared" si="13"/>
        <v>0</v>
      </c>
      <c r="BF27" s="1685"/>
      <c r="BG27" s="1723"/>
      <c r="BH27" s="1577">
        <f t="shared" si="13"/>
        <v>0</v>
      </c>
      <c r="BI27" s="1720">
        <f t="shared" si="13"/>
        <v>0</v>
      </c>
      <c r="BJ27" s="1720">
        <f t="shared" si="13"/>
        <v>0</v>
      </c>
      <c r="BK27" s="1721">
        <f t="shared" si="13"/>
        <v>0</v>
      </c>
      <c r="BL27" s="1685"/>
      <c r="BM27" s="1723"/>
      <c r="BN27" s="1577">
        <f t="shared" si="13"/>
        <v>0</v>
      </c>
      <c r="BO27" s="1720">
        <f t="shared" si="13"/>
        <v>0</v>
      </c>
      <c r="BP27" s="1720">
        <f t="shared" si="13"/>
        <v>0</v>
      </c>
      <c r="BQ27" s="1720">
        <f t="shared" si="13"/>
        <v>0</v>
      </c>
      <c r="BR27" s="1720">
        <f t="shared" si="13"/>
        <v>0</v>
      </c>
      <c r="BS27" s="1720">
        <f t="shared" si="13"/>
        <v>0</v>
      </c>
      <c r="BT27" s="1720">
        <f t="shared" si="13"/>
        <v>0</v>
      </c>
      <c r="BU27" s="1720">
        <f t="shared" si="13"/>
        <v>0</v>
      </c>
      <c r="BV27" s="1720">
        <f t="shared" si="13"/>
        <v>0</v>
      </c>
      <c r="BW27" s="1720">
        <f t="shared" si="13"/>
        <v>0</v>
      </c>
      <c r="BX27" s="1786">
        <f t="shared" si="13"/>
        <v>0</v>
      </c>
      <c r="BY27" s="1685"/>
      <c r="BZ27" s="1723"/>
      <c r="CA27" s="1577">
        <f t="shared" si="13"/>
        <v>0</v>
      </c>
      <c r="CB27" s="1720">
        <f t="shared" si="13"/>
        <v>0</v>
      </c>
      <c r="CC27" s="1720">
        <f t="shared" si="13"/>
        <v>0</v>
      </c>
      <c r="CD27" s="1720">
        <f t="shared" si="13"/>
        <v>0</v>
      </c>
      <c r="CE27" s="1721">
        <f t="shared" si="13"/>
        <v>0</v>
      </c>
      <c r="CF27" s="1685"/>
      <c r="CG27" s="1723"/>
      <c r="CM27" s="1189" t="s">
        <v>1174</v>
      </c>
      <c r="CN27" s="1202"/>
      <c r="CO27" s="1208">
        <f>SUM(C113:U113)</f>
        <v>0</v>
      </c>
      <c r="CP27" s="1212" t="s">
        <v>1174</v>
      </c>
      <c r="CQ27" s="1202"/>
      <c r="CR27" s="1213">
        <f>SUM(V113:AI113)</f>
        <v>0</v>
      </c>
    </row>
    <row r="28" spans="1:118" ht="42" customHeight="1">
      <c r="A28" s="2904" t="s">
        <v>1343</v>
      </c>
      <c r="B28" s="2904"/>
      <c r="C28" s="2223"/>
      <c r="D28" s="1746"/>
      <c r="E28" s="1577">
        <f t="shared" ref="E28:S28" si="14">IF(E13&gt;0,2000*E22*E24/12,0)</f>
        <v>0</v>
      </c>
      <c r="F28" s="1720">
        <f t="shared" si="14"/>
        <v>0</v>
      </c>
      <c r="G28" s="1720">
        <f t="shared" si="14"/>
        <v>0</v>
      </c>
      <c r="H28" s="1720">
        <f t="shared" si="14"/>
        <v>0</v>
      </c>
      <c r="I28" s="1720">
        <f t="shared" si="14"/>
        <v>0</v>
      </c>
      <c r="J28" s="1720">
        <f t="shared" si="14"/>
        <v>0</v>
      </c>
      <c r="K28" s="1720">
        <f t="shared" si="14"/>
        <v>0</v>
      </c>
      <c r="L28" s="1720">
        <f t="shared" si="14"/>
        <v>0</v>
      </c>
      <c r="M28" s="1720">
        <f t="shared" si="14"/>
        <v>0</v>
      </c>
      <c r="N28" s="1720">
        <f t="shared" si="14"/>
        <v>0</v>
      </c>
      <c r="O28" s="1720">
        <f t="shared" si="14"/>
        <v>0</v>
      </c>
      <c r="P28" s="1720">
        <f t="shared" si="14"/>
        <v>0</v>
      </c>
      <c r="Q28" s="1720">
        <f t="shared" si="14"/>
        <v>0</v>
      </c>
      <c r="R28" s="1720">
        <f t="shared" si="14"/>
        <v>0</v>
      </c>
      <c r="S28" s="1721">
        <f t="shared" si="14"/>
        <v>0</v>
      </c>
      <c r="T28" s="1685"/>
      <c r="U28" s="1723"/>
      <c r="V28" s="1724"/>
      <c r="W28" s="1746"/>
      <c r="X28" s="1741">
        <f t="shared" ref="X28:AG28" si="15">IF(X13&gt;0,2000*X22*X24/12,0)</f>
        <v>0</v>
      </c>
      <c r="Y28" s="1720">
        <f t="shared" si="15"/>
        <v>0</v>
      </c>
      <c r="Z28" s="1720">
        <f t="shared" si="15"/>
        <v>0</v>
      </c>
      <c r="AA28" s="1720">
        <f t="shared" si="15"/>
        <v>0</v>
      </c>
      <c r="AB28" s="1720">
        <f t="shared" si="15"/>
        <v>0</v>
      </c>
      <c r="AC28" s="1720">
        <f t="shared" si="15"/>
        <v>0</v>
      </c>
      <c r="AD28" s="1720">
        <f t="shared" si="15"/>
        <v>0</v>
      </c>
      <c r="AE28" s="1720">
        <f t="shared" si="15"/>
        <v>0</v>
      </c>
      <c r="AF28" s="1720">
        <f t="shared" si="15"/>
        <v>0</v>
      </c>
      <c r="AG28" s="1721">
        <f t="shared" si="15"/>
        <v>0</v>
      </c>
      <c r="AH28" s="1685"/>
      <c r="AI28" s="1723"/>
      <c r="AJ28" s="1577">
        <f t="shared" ref="AJ28:AS28" si="16">IF(AJ13&gt;0,2000*AJ22*AJ24/12,0)</f>
        <v>0</v>
      </c>
      <c r="AK28" s="1720">
        <f t="shared" si="16"/>
        <v>0</v>
      </c>
      <c r="AL28" s="1720">
        <f t="shared" si="16"/>
        <v>0</v>
      </c>
      <c r="AM28" s="1720">
        <f t="shared" si="16"/>
        <v>0</v>
      </c>
      <c r="AN28" s="1720">
        <f t="shared" si="16"/>
        <v>0</v>
      </c>
      <c r="AO28" s="1720">
        <f t="shared" si="16"/>
        <v>0</v>
      </c>
      <c r="AP28" s="1720">
        <f t="shared" si="16"/>
        <v>0</v>
      </c>
      <c r="AQ28" s="1720">
        <f t="shared" si="16"/>
        <v>0</v>
      </c>
      <c r="AR28" s="1720">
        <f t="shared" si="16"/>
        <v>0</v>
      </c>
      <c r="AS28" s="1721">
        <f t="shared" si="16"/>
        <v>0</v>
      </c>
      <c r="AT28" s="1685"/>
      <c r="AU28" s="1723"/>
      <c r="AV28" s="1577">
        <f t="shared" ref="AV28:BE28" si="17">IF(AV13&gt;0,2000*AV22*AV24/12,0)</f>
        <v>0</v>
      </c>
      <c r="AW28" s="1720">
        <f t="shared" si="17"/>
        <v>0</v>
      </c>
      <c r="AX28" s="1720">
        <f t="shared" si="17"/>
        <v>0</v>
      </c>
      <c r="AY28" s="1720">
        <f t="shared" si="17"/>
        <v>0</v>
      </c>
      <c r="AZ28" s="1720">
        <f t="shared" si="17"/>
        <v>0</v>
      </c>
      <c r="BA28" s="1720">
        <f t="shared" si="17"/>
        <v>0</v>
      </c>
      <c r="BB28" s="1720">
        <f t="shared" si="17"/>
        <v>0</v>
      </c>
      <c r="BC28" s="1720">
        <f t="shared" si="17"/>
        <v>0</v>
      </c>
      <c r="BD28" s="1720">
        <f t="shared" si="17"/>
        <v>0</v>
      </c>
      <c r="BE28" s="1786">
        <f t="shared" si="17"/>
        <v>0</v>
      </c>
      <c r="BF28" s="1685"/>
      <c r="BG28" s="1723"/>
      <c r="BH28" s="1685"/>
      <c r="BI28" s="1722"/>
      <c r="BJ28" s="1722"/>
      <c r="BK28" s="1723"/>
      <c r="BL28" s="1685"/>
      <c r="BM28" s="1723"/>
      <c r="BN28" s="1686">
        <f>IF(BN7=21,2000*BN22*BN24/12,0)+IF(BN7=14,1957*BN22*BN24/12,0)</f>
        <v>0</v>
      </c>
      <c r="BO28" s="1687">
        <f>IF(BO7=21,2000*BO22*BO24/12,0)+IF(BO7=14,1957*BO22*BO24/12,0)</f>
        <v>0</v>
      </c>
      <c r="BP28" s="1687">
        <f t="shared" ref="BP28:BX28" si="18">IF(BP7=21,2000*BP22*BP24/12,0)+IF(BP7=14,1957*BP22*BP24/12,0)</f>
        <v>0</v>
      </c>
      <c r="BQ28" s="1687">
        <f t="shared" si="18"/>
        <v>0</v>
      </c>
      <c r="BR28" s="1687">
        <f t="shared" si="18"/>
        <v>0</v>
      </c>
      <c r="BS28" s="1687">
        <f t="shared" si="18"/>
        <v>0</v>
      </c>
      <c r="BT28" s="1687">
        <f t="shared" si="18"/>
        <v>0</v>
      </c>
      <c r="BU28" s="1687">
        <f t="shared" si="18"/>
        <v>0</v>
      </c>
      <c r="BV28" s="1687">
        <f t="shared" si="18"/>
        <v>0</v>
      </c>
      <c r="BW28" s="1687">
        <f t="shared" si="18"/>
        <v>0</v>
      </c>
      <c r="BX28" s="1800">
        <f t="shared" si="18"/>
        <v>0</v>
      </c>
      <c r="BY28" s="1685"/>
      <c r="BZ28" s="1723"/>
      <c r="CA28" s="1686">
        <f t="shared" ref="CA28:CE28" si="19">IF(CA7=21,2000*CA22*CA24/12,0)+IF(CA7=14,1957*CA22*CA24/12,0)</f>
        <v>0</v>
      </c>
      <c r="CB28" s="1687">
        <f t="shared" si="19"/>
        <v>0</v>
      </c>
      <c r="CC28" s="1687">
        <f t="shared" si="19"/>
        <v>0</v>
      </c>
      <c r="CD28" s="1687">
        <f t="shared" si="19"/>
        <v>0</v>
      </c>
      <c r="CE28" s="1688">
        <f t="shared" si="19"/>
        <v>0</v>
      </c>
      <c r="CF28" s="1685"/>
      <c r="CG28" s="1723"/>
      <c r="CM28" s="1189" t="s">
        <v>1216</v>
      </c>
      <c r="CN28" s="1202"/>
      <c r="CO28" s="1208">
        <f>SUM(C114:U114)</f>
        <v>0</v>
      </c>
      <c r="CP28" s="1212" t="s">
        <v>1216</v>
      </c>
      <c r="CQ28" s="1202"/>
      <c r="CR28" s="1213">
        <f>SUM(V114:AI114)</f>
        <v>0</v>
      </c>
      <c r="DH28" s="801"/>
      <c r="DI28" s="801"/>
      <c r="DJ28" s="801"/>
      <c r="DK28" s="801"/>
      <c r="DL28" s="801"/>
      <c r="DM28" s="801"/>
      <c r="DN28" s="801"/>
    </row>
    <row r="29" spans="1:118" ht="24" customHeight="1">
      <c r="A29" s="2897" t="s">
        <v>1340</v>
      </c>
      <c r="B29" s="2897"/>
      <c r="C29" s="2224">
        <f>IF(C13&gt;0,4500*C22*C24/12,0)</f>
        <v>0</v>
      </c>
      <c r="D29" s="1690">
        <f>IF(D13&gt;0,4500*D22*D24/12,0)</f>
        <v>0</v>
      </c>
      <c r="E29" s="1724"/>
      <c r="F29" s="1725"/>
      <c r="G29" s="1725"/>
      <c r="H29" s="1725"/>
      <c r="I29" s="1725"/>
      <c r="J29" s="1725"/>
      <c r="K29" s="1725"/>
      <c r="L29" s="1725"/>
      <c r="M29" s="1725"/>
      <c r="N29" s="1725"/>
      <c r="O29" s="1725"/>
      <c r="P29" s="1725"/>
      <c r="Q29" s="1725"/>
      <c r="R29" s="1725"/>
      <c r="S29" s="1746"/>
      <c r="T29" s="1685"/>
      <c r="U29" s="1723"/>
      <c r="V29" s="1689">
        <f>IF(V13&gt;0,4500*V22*V24/12,0)</f>
        <v>0</v>
      </c>
      <c r="W29" s="1690">
        <f>IF(W13&gt;0,4500*W22*W24/12,0)</f>
        <v>0</v>
      </c>
      <c r="X29" s="1748"/>
      <c r="Y29" s="1722"/>
      <c r="Z29" s="1722"/>
      <c r="AA29" s="1722"/>
      <c r="AB29" s="1722"/>
      <c r="AC29" s="1722"/>
      <c r="AD29" s="1722"/>
      <c r="AE29" s="1722"/>
      <c r="AF29" s="1722"/>
      <c r="AG29" s="1723"/>
      <c r="AH29" s="1685"/>
      <c r="AI29" s="1723"/>
      <c r="AJ29" s="1685"/>
      <c r="AK29" s="1722"/>
      <c r="AL29" s="1722"/>
      <c r="AM29" s="1722"/>
      <c r="AN29" s="1722"/>
      <c r="AO29" s="1722"/>
      <c r="AP29" s="1722"/>
      <c r="AQ29" s="1722"/>
      <c r="AR29" s="1722"/>
      <c r="AS29" s="1723"/>
      <c r="AT29" s="1685"/>
      <c r="AU29" s="1723"/>
      <c r="AV29" s="1685"/>
      <c r="AW29" s="1722"/>
      <c r="AX29" s="1722"/>
      <c r="AY29" s="1722"/>
      <c r="AZ29" s="1722"/>
      <c r="BA29" s="1722"/>
      <c r="BB29" s="1722"/>
      <c r="BC29" s="1722"/>
      <c r="BD29" s="1722"/>
      <c r="BE29" s="1787"/>
      <c r="BF29" s="1685"/>
      <c r="BG29" s="1723"/>
      <c r="BH29" s="1685"/>
      <c r="BI29" s="1722"/>
      <c r="BJ29" s="1722"/>
      <c r="BK29" s="1723"/>
      <c r="BL29" s="1685"/>
      <c r="BM29" s="1723"/>
      <c r="BN29" s="1685"/>
      <c r="BO29" s="1722"/>
      <c r="BP29" s="1722"/>
      <c r="BQ29" s="1722"/>
      <c r="BR29" s="1722"/>
      <c r="BS29" s="1722"/>
      <c r="BT29" s="1722"/>
      <c r="BU29" s="1722"/>
      <c r="BV29" s="1722"/>
      <c r="BW29" s="1722"/>
      <c r="BX29" s="1787"/>
      <c r="BY29" s="1685"/>
      <c r="BZ29" s="1723"/>
      <c r="CA29" s="1685"/>
      <c r="CB29" s="1722"/>
      <c r="CC29" s="1722"/>
      <c r="CD29" s="1722"/>
      <c r="CE29" s="1723"/>
      <c r="CF29" s="1685"/>
      <c r="CG29" s="1723"/>
      <c r="CM29" s="1189" t="s">
        <v>1205</v>
      </c>
      <c r="CN29" s="1202"/>
      <c r="CO29" s="1208">
        <f>SUM(T99:U99)+SUM(T82:U82)</f>
        <v>0</v>
      </c>
      <c r="CP29" s="1212" t="s">
        <v>1205</v>
      </c>
      <c r="CQ29" s="1202"/>
      <c r="CR29" s="1213">
        <f>SUM(AH99:AI99)+SUM(AH82:AI82)</f>
        <v>0</v>
      </c>
    </row>
    <row r="30" spans="1:118" ht="24" customHeight="1">
      <c r="A30" s="2881" t="s">
        <v>1116</v>
      </c>
      <c r="B30" s="2881"/>
      <c r="C30" s="2225"/>
      <c r="D30" s="1729"/>
      <c r="E30" s="1578"/>
      <c r="F30" s="1726"/>
      <c r="G30" s="1726"/>
      <c r="H30" s="1726"/>
      <c r="I30" s="1726"/>
      <c r="J30" s="1726"/>
      <c r="K30" s="1726"/>
      <c r="L30" s="1726"/>
      <c r="M30" s="1726"/>
      <c r="N30" s="1726"/>
      <c r="O30" s="1726"/>
      <c r="P30" s="1726"/>
      <c r="Q30" s="1726"/>
      <c r="R30" s="1726"/>
      <c r="S30" s="1729"/>
      <c r="T30" s="1579"/>
      <c r="U30" s="1727"/>
      <c r="V30" s="1578"/>
      <c r="W30" s="1729"/>
      <c r="X30" s="1742"/>
      <c r="Y30" s="1726"/>
      <c r="Z30" s="1726"/>
      <c r="AA30" s="1726"/>
      <c r="AB30" s="1726"/>
      <c r="AC30" s="1726"/>
      <c r="AD30" s="1726"/>
      <c r="AE30" s="1726"/>
      <c r="AF30" s="1726"/>
      <c r="AG30" s="1729"/>
      <c r="AH30" s="1579"/>
      <c r="AI30" s="1727"/>
      <c r="AJ30" s="1578"/>
      <c r="AK30" s="1726"/>
      <c r="AL30" s="1726"/>
      <c r="AM30" s="1726"/>
      <c r="AN30" s="1726"/>
      <c r="AO30" s="1726"/>
      <c r="AP30" s="1726"/>
      <c r="AQ30" s="1726"/>
      <c r="AR30" s="1726"/>
      <c r="AS30" s="1729"/>
      <c r="AT30" s="1579"/>
      <c r="AU30" s="1727"/>
      <c r="AV30" s="1578"/>
      <c r="AW30" s="1726"/>
      <c r="AX30" s="1726"/>
      <c r="AY30" s="1726"/>
      <c r="AZ30" s="1726"/>
      <c r="BA30" s="1726"/>
      <c r="BB30" s="1726"/>
      <c r="BC30" s="1726"/>
      <c r="BD30" s="1726"/>
      <c r="BE30" s="1788"/>
      <c r="BF30" s="1579"/>
      <c r="BG30" s="1727"/>
      <c r="BH30" s="1578"/>
      <c r="BI30" s="1726"/>
      <c r="BJ30" s="1726"/>
      <c r="BK30" s="1729"/>
      <c r="BL30" s="1579"/>
      <c r="BM30" s="1727"/>
      <c r="BN30" s="1578"/>
      <c r="BO30" s="1726"/>
      <c r="BP30" s="1726"/>
      <c r="BQ30" s="1726"/>
      <c r="BR30" s="1726"/>
      <c r="BS30" s="1726"/>
      <c r="BT30" s="1726"/>
      <c r="BU30" s="1726"/>
      <c r="BV30" s="1726"/>
      <c r="BW30" s="1726"/>
      <c r="BX30" s="1788"/>
      <c r="BY30" s="1579"/>
      <c r="BZ30" s="1727"/>
      <c r="CA30" s="1578"/>
      <c r="CB30" s="1726"/>
      <c r="CC30" s="1726"/>
      <c r="CD30" s="1726"/>
      <c r="CE30" s="1729"/>
      <c r="CF30" s="1579"/>
      <c r="CG30" s="1727"/>
      <c r="CH30" s="98" t="s">
        <v>336</v>
      </c>
      <c r="CM30" s="1209" t="s">
        <v>1212</v>
      </c>
      <c r="CN30" s="1202"/>
      <c r="CO30" s="1198">
        <f>U85</f>
        <v>0</v>
      </c>
      <c r="CP30" s="1215" t="s">
        <v>1212</v>
      </c>
      <c r="CQ30" s="1202"/>
      <c r="CR30" s="1216">
        <f>AI85</f>
        <v>0</v>
      </c>
    </row>
    <row r="31" spans="1:118" ht="24" customHeight="1">
      <c r="A31" s="2881" t="s">
        <v>1117</v>
      </c>
      <c r="B31" s="2881"/>
      <c r="C31" s="2225"/>
      <c r="D31" s="1729"/>
      <c r="E31" s="1578"/>
      <c r="F31" s="1726"/>
      <c r="G31" s="1726"/>
      <c r="H31" s="1726"/>
      <c r="I31" s="1726"/>
      <c r="J31" s="1726"/>
      <c r="K31" s="1726"/>
      <c r="L31" s="1726"/>
      <c r="M31" s="1726"/>
      <c r="N31" s="1726"/>
      <c r="O31" s="1726"/>
      <c r="P31" s="1726"/>
      <c r="Q31" s="1726"/>
      <c r="R31" s="1726"/>
      <c r="S31" s="1729"/>
      <c r="T31" s="1579"/>
      <c r="U31" s="1727"/>
      <c r="V31" s="1578"/>
      <c r="W31" s="1729"/>
      <c r="X31" s="1742"/>
      <c r="Y31" s="1726"/>
      <c r="Z31" s="1726"/>
      <c r="AA31" s="1726"/>
      <c r="AB31" s="1726"/>
      <c r="AC31" s="1726"/>
      <c r="AD31" s="1726"/>
      <c r="AE31" s="1726"/>
      <c r="AF31" s="1726"/>
      <c r="AG31" s="1729"/>
      <c r="AH31" s="1579"/>
      <c r="AI31" s="1727"/>
      <c r="AJ31" s="1578"/>
      <c r="AK31" s="1726"/>
      <c r="AL31" s="1726"/>
      <c r="AM31" s="1726"/>
      <c r="AN31" s="1726"/>
      <c r="AO31" s="1726"/>
      <c r="AP31" s="1726"/>
      <c r="AQ31" s="1726"/>
      <c r="AR31" s="1726"/>
      <c r="AS31" s="1729"/>
      <c r="AT31" s="1579"/>
      <c r="AU31" s="1727"/>
      <c r="AV31" s="1578"/>
      <c r="AW31" s="1726"/>
      <c r="AX31" s="1726"/>
      <c r="AY31" s="1726"/>
      <c r="AZ31" s="1726"/>
      <c r="BA31" s="1726"/>
      <c r="BB31" s="1726"/>
      <c r="BC31" s="1726"/>
      <c r="BD31" s="1726"/>
      <c r="BE31" s="1788"/>
      <c r="BF31" s="1579"/>
      <c r="BG31" s="1727"/>
      <c r="BH31" s="1578"/>
      <c r="BI31" s="1726"/>
      <c r="BJ31" s="1726"/>
      <c r="BK31" s="1729"/>
      <c r="BL31" s="1579"/>
      <c r="BM31" s="1727"/>
      <c r="BN31" s="1578"/>
      <c r="BO31" s="1726"/>
      <c r="BP31" s="1726"/>
      <c r="BQ31" s="1726"/>
      <c r="BR31" s="1726"/>
      <c r="BS31" s="1726"/>
      <c r="BT31" s="1726"/>
      <c r="BU31" s="1726"/>
      <c r="BV31" s="1726"/>
      <c r="BW31" s="1726"/>
      <c r="BX31" s="1788"/>
      <c r="BY31" s="1579"/>
      <c r="BZ31" s="1727"/>
      <c r="CA31" s="1578"/>
      <c r="CB31" s="1726"/>
      <c r="CC31" s="1726"/>
      <c r="CD31" s="1726"/>
      <c r="CE31" s="1729"/>
      <c r="CF31" s="1579"/>
      <c r="CG31" s="1727"/>
      <c r="CH31" s="98" t="s">
        <v>336</v>
      </c>
      <c r="CM31" s="1189" t="s">
        <v>1224</v>
      </c>
      <c r="CN31" s="1244"/>
      <c r="CO31" s="1208">
        <f>SUM(CO7:CO30)</f>
        <v>0</v>
      </c>
      <c r="CP31" s="1212" t="s">
        <v>1226</v>
      </c>
      <c r="CQ31" s="1212"/>
      <c r="CR31" s="1213">
        <f>SUM(CR7:CR30)</f>
        <v>0</v>
      </c>
    </row>
    <row r="32" spans="1:118" ht="24" customHeight="1">
      <c r="A32" s="2881" t="s">
        <v>1118</v>
      </c>
      <c r="B32" s="2881"/>
      <c r="C32" s="2225"/>
      <c r="D32" s="1729"/>
      <c r="E32" s="1578"/>
      <c r="F32" s="1726"/>
      <c r="G32" s="1726"/>
      <c r="H32" s="1726"/>
      <c r="I32" s="1726"/>
      <c r="J32" s="1726"/>
      <c r="K32" s="1726"/>
      <c r="L32" s="1726"/>
      <c r="M32" s="1726"/>
      <c r="N32" s="1726"/>
      <c r="O32" s="1726"/>
      <c r="P32" s="1726"/>
      <c r="Q32" s="1726"/>
      <c r="R32" s="1726"/>
      <c r="S32" s="1729"/>
      <c r="T32" s="1579"/>
      <c r="U32" s="1727"/>
      <c r="V32" s="1578"/>
      <c r="W32" s="1729"/>
      <c r="X32" s="1742"/>
      <c r="Y32" s="1726"/>
      <c r="Z32" s="1726"/>
      <c r="AA32" s="1726"/>
      <c r="AB32" s="1726"/>
      <c r="AC32" s="1726"/>
      <c r="AD32" s="1726"/>
      <c r="AE32" s="1726"/>
      <c r="AF32" s="1726"/>
      <c r="AG32" s="1729"/>
      <c r="AH32" s="1579"/>
      <c r="AI32" s="1727"/>
      <c r="AJ32" s="1578"/>
      <c r="AK32" s="1726"/>
      <c r="AL32" s="1726"/>
      <c r="AM32" s="1726"/>
      <c r="AN32" s="1726"/>
      <c r="AO32" s="1726"/>
      <c r="AP32" s="1726"/>
      <c r="AQ32" s="1726"/>
      <c r="AR32" s="1726"/>
      <c r="AS32" s="1729"/>
      <c r="AT32" s="1579"/>
      <c r="AU32" s="1727"/>
      <c r="AV32" s="1578"/>
      <c r="AW32" s="1726"/>
      <c r="AX32" s="1726"/>
      <c r="AY32" s="1726"/>
      <c r="AZ32" s="1726"/>
      <c r="BA32" s="1726"/>
      <c r="BB32" s="1726"/>
      <c r="BC32" s="1726"/>
      <c r="BD32" s="1726"/>
      <c r="BE32" s="1788"/>
      <c r="BF32" s="1579"/>
      <c r="BG32" s="1727"/>
      <c r="BH32" s="1578"/>
      <c r="BI32" s="1726"/>
      <c r="BJ32" s="1726"/>
      <c r="BK32" s="1729"/>
      <c r="BL32" s="1579"/>
      <c r="BM32" s="1727"/>
      <c r="BN32" s="1578"/>
      <c r="BO32" s="1726"/>
      <c r="BP32" s="1726"/>
      <c r="BQ32" s="1726"/>
      <c r="BR32" s="1726"/>
      <c r="BS32" s="1726"/>
      <c r="BT32" s="1726"/>
      <c r="BU32" s="1726"/>
      <c r="BV32" s="1726"/>
      <c r="BW32" s="1726"/>
      <c r="BX32" s="1788"/>
      <c r="BY32" s="1579"/>
      <c r="BZ32" s="1727"/>
      <c r="CA32" s="1578"/>
      <c r="CB32" s="1726"/>
      <c r="CC32" s="1726"/>
      <c r="CD32" s="1726"/>
      <c r="CE32" s="1729"/>
      <c r="CF32" s="1579"/>
      <c r="CG32" s="1727"/>
      <c r="CH32" s="98" t="s">
        <v>336</v>
      </c>
      <c r="CM32" s="1189" t="s">
        <v>1211</v>
      </c>
      <c r="CN32" s="1189"/>
      <c r="CO32" s="1208">
        <f>U56+U85-CO31+SUM(T82:U82)</f>
        <v>0</v>
      </c>
      <c r="CP32" s="1212" t="s">
        <v>1211</v>
      </c>
      <c r="CQ32" s="1212"/>
      <c r="CR32" s="1213">
        <f>AI56+AI85-CR31+SUM(AH82:AI82)</f>
        <v>0</v>
      </c>
    </row>
    <row r="33" spans="1:86" ht="24" customHeight="1">
      <c r="A33" s="2881" t="s">
        <v>1119</v>
      </c>
      <c r="B33" s="2881"/>
      <c r="C33" s="2225"/>
      <c r="D33" s="1729"/>
      <c r="E33" s="1578"/>
      <c r="F33" s="1726"/>
      <c r="G33" s="1726"/>
      <c r="H33" s="1726"/>
      <c r="I33" s="1726"/>
      <c r="J33" s="1726"/>
      <c r="K33" s="1726"/>
      <c r="L33" s="1726"/>
      <c r="M33" s="1726"/>
      <c r="N33" s="1726"/>
      <c r="O33" s="1726"/>
      <c r="P33" s="1726"/>
      <c r="Q33" s="1726"/>
      <c r="R33" s="1726"/>
      <c r="S33" s="1729"/>
      <c r="T33" s="1579"/>
      <c r="U33" s="1727"/>
      <c r="V33" s="1578"/>
      <c r="W33" s="1729"/>
      <c r="X33" s="1742"/>
      <c r="Y33" s="1726"/>
      <c r="Z33" s="1726"/>
      <c r="AA33" s="1726"/>
      <c r="AB33" s="1726"/>
      <c r="AC33" s="1726"/>
      <c r="AD33" s="1726"/>
      <c r="AE33" s="1726"/>
      <c r="AF33" s="1726"/>
      <c r="AG33" s="1729"/>
      <c r="AH33" s="1579"/>
      <c r="AI33" s="1727"/>
      <c r="AJ33" s="1578"/>
      <c r="AK33" s="1726"/>
      <c r="AL33" s="1726"/>
      <c r="AM33" s="1726"/>
      <c r="AN33" s="1726"/>
      <c r="AO33" s="1726"/>
      <c r="AP33" s="1726"/>
      <c r="AQ33" s="1726"/>
      <c r="AR33" s="1726"/>
      <c r="AS33" s="1729"/>
      <c r="AT33" s="1579"/>
      <c r="AU33" s="1727"/>
      <c r="AV33" s="1578"/>
      <c r="AW33" s="1726"/>
      <c r="AX33" s="1726"/>
      <c r="AY33" s="1726"/>
      <c r="AZ33" s="1726"/>
      <c r="BA33" s="1726"/>
      <c r="BB33" s="1726"/>
      <c r="BC33" s="1726"/>
      <c r="BD33" s="1726"/>
      <c r="BE33" s="1788"/>
      <c r="BF33" s="1579"/>
      <c r="BG33" s="1727"/>
      <c r="BH33" s="1578"/>
      <c r="BI33" s="1726"/>
      <c r="BJ33" s="1726"/>
      <c r="BK33" s="1729"/>
      <c r="BL33" s="1579"/>
      <c r="BM33" s="1727"/>
      <c r="BN33" s="1578"/>
      <c r="BO33" s="1726"/>
      <c r="BP33" s="1726"/>
      <c r="BQ33" s="1726"/>
      <c r="BR33" s="1726"/>
      <c r="BS33" s="1726"/>
      <c r="BT33" s="1726"/>
      <c r="BU33" s="1726"/>
      <c r="BV33" s="1726"/>
      <c r="BW33" s="1726"/>
      <c r="BX33" s="1788"/>
      <c r="BY33" s="1579"/>
      <c r="BZ33" s="1727"/>
      <c r="CA33" s="1578"/>
      <c r="CB33" s="1726"/>
      <c r="CC33" s="1726"/>
      <c r="CD33" s="1726"/>
      <c r="CE33" s="1729"/>
      <c r="CF33" s="1579"/>
      <c r="CG33" s="1727"/>
      <c r="CH33" s="98" t="s">
        <v>337</v>
      </c>
    </row>
    <row r="34" spans="1:86" ht="24" customHeight="1">
      <c r="A34" s="2881" t="s">
        <v>1160</v>
      </c>
      <c r="B34" s="2881"/>
      <c r="C34" s="2225"/>
      <c r="D34" s="1729"/>
      <c r="E34" s="1578"/>
      <c r="F34" s="1726"/>
      <c r="G34" s="1726"/>
      <c r="H34" s="1726"/>
      <c r="I34" s="1726"/>
      <c r="J34" s="1726"/>
      <c r="K34" s="1726"/>
      <c r="L34" s="1726"/>
      <c r="M34" s="1726"/>
      <c r="N34" s="1726"/>
      <c r="O34" s="1726"/>
      <c r="P34" s="1726"/>
      <c r="Q34" s="1726"/>
      <c r="R34" s="1726"/>
      <c r="S34" s="1729"/>
      <c r="T34" s="1579"/>
      <c r="U34" s="1727"/>
      <c r="V34" s="1578"/>
      <c r="W34" s="1729"/>
      <c r="X34" s="1742"/>
      <c r="Y34" s="1726"/>
      <c r="Z34" s="1726"/>
      <c r="AA34" s="1726"/>
      <c r="AB34" s="1726"/>
      <c r="AC34" s="1726"/>
      <c r="AD34" s="1726"/>
      <c r="AE34" s="1726"/>
      <c r="AF34" s="1726"/>
      <c r="AG34" s="1729"/>
      <c r="AH34" s="1579"/>
      <c r="AI34" s="1727"/>
      <c r="AJ34" s="1578"/>
      <c r="AK34" s="1726"/>
      <c r="AL34" s="1726"/>
      <c r="AM34" s="1726"/>
      <c r="AN34" s="1726"/>
      <c r="AO34" s="1726"/>
      <c r="AP34" s="1726"/>
      <c r="AQ34" s="1726"/>
      <c r="AR34" s="1726"/>
      <c r="AS34" s="1729"/>
      <c r="AT34" s="1579"/>
      <c r="AU34" s="1727"/>
      <c r="AV34" s="1578"/>
      <c r="AW34" s="1726"/>
      <c r="AX34" s="1726"/>
      <c r="AY34" s="1726"/>
      <c r="AZ34" s="1726"/>
      <c r="BA34" s="1726"/>
      <c r="BB34" s="1726"/>
      <c r="BC34" s="1726"/>
      <c r="BD34" s="1726"/>
      <c r="BE34" s="1788"/>
      <c r="BF34" s="1579"/>
      <c r="BG34" s="1727"/>
      <c r="BH34" s="1578"/>
      <c r="BI34" s="1726"/>
      <c r="BJ34" s="1726"/>
      <c r="BK34" s="1729"/>
      <c r="BL34" s="1579"/>
      <c r="BM34" s="1727"/>
      <c r="BN34" s="1578"/>
      <c r="BO34" s="1726"/>
      <c r="BP34" s="1726"/>
      <c r="BQ34" s="1726"/>
      <c r="BR34" s="1726"/>
      <c r="BS34" s="1726"/>
      <c r="BT34" s="1726"/>
      <c r="BU34" s="1726"/>
      <c r="BV34" s="1726"/>
      <c r="BW34" s="1726"/>
      <c r="BX34" s="1788"/>
      <c r="BY34" s="1579"/>
      <c r="BZ34" s="1727"/>
      <c r="CA34" s="1578"/>
      <c r="CB34" s="1726"/>
      <c r="CC34" s="1726"/>
      <c r="CD34" s="1726"/>
      <c r="CE34" s="1729"/>
      <c r="CF34" s="1579"/>
      <c r="CG34" s="1727"/>
    </row>
    <row r="35" spans="1:86" ht="27" customHeight="1">
      <c r="A35" s="2881" t="s">
        <v>1120</v>
      </c>
      <c r="B35" s="2881"/>
      <c r="C35" s="2225"/>
      <c r="D35" s="1729"/>
      <c r="E35" s="1578"/>
      <c r="F35" s="1726"/>
      <c r="G35" s="1726"/>
      <c r="H35" s="1726"/>
      <c r="I35" s="1726"/>
      <c r="J35" s="1726"/>
      <c r="K35" s="1726"/>
      <c r="L35" s="1726"/>
      <c r="M35" s="1726"/>
      <c r="N35" s="1726"/>
      <c r="O35" s="1726"/>
      <c r="P35" s="1726"/>
      <c r="Q35" s="1726"/>
      <c r="R35" s="1726"/>
      <c r="S35" s="1729"/>
      <c r="T35" s="1579"/>
      <c r="U35" s="1727"/>
      <c r="V35" s="1578"/>
      <c r="W35" s="1729"/>
      <c r="X35" s="1742"/>
      <c r="Y35" s="1726"/>
      <c r="Z35" s="1726"/>
      <c r="AA35" s="1726"/>
      <c r="AB35" s="1726"/>
      <c r="AC35" s="1726"/>
      <c r="AD35" s="1726"/>
      <c r="AE35" s="1726"/>
      <c r="AF35" s="1726"/>
      <c r="AG35" s="1729"/>
      <c r="AH35" s="1579"/>
      <c r="AI35" s="1727"/>
      <c r="AJ35" s="1578"/>
      <c r="AK35" s="1726"/>
      <c r="AL35" s="1726"/>
      <c r="AM35" s="1726"/>
      <c r="AN35" s="1726"/>
      <c r="AO35" s="1726"/>
      <c r="AP35" s="1726"/>
      <c r="AQ35" s="1726"/>
      <c r="AR35" s="1726"/>
      <c r="AS35" s="1729"/>
      <c r="AT35" s="1579"/>
      <c r="AU35" s="1727"/>
      <c r="AV35" s="1578"/>
      <c r="AW35" s="1726"/>
      <c r="AX35" s="1726"/>
      <c r="AY35" s="1726"/>
      <c r="AZ35" s="1726"/>
      <c r="BA35" s="1726"/>
      <c r="BB35" s="1726"/>
      <c r="BC35" s="1726"/>
      <c r="BD35" s="1726"/>
      <c r="BE35" s="1788"/>
      <c r="BF35" s="1579"/>
      <c r="BG35" s="1727"/>
      <c r="BH35" s="1578"/>
      <c r="BI35" s="1726"/>
      <c r="BJ35" s="1726"/>
      <c r="BK35" s="1729"/>
      <c r="BL35" s="1579"/>
      <c r="BM35" s="1727"/>
      <c r="BN35" s="1578"/>
      <c r="BO35" s="1726"/>
      <c r="BP35" s="1726"/>
      <c r="BQ35" s="1726"/>
      <c r="BR35" s="1726"/>
      <c r="BS35" s="1726"/>
      <c r="BT35" s="1726"/>
      <c r="BU35" s="1726"/>
      <c r="BV35" s="1726"/>
      <c r="BW35" s="1726"/>
      <c r="BX35" s="1788"/>
      <c r="BY35" s="1579"/>
      <c r="BZ35" s="1727"/>
      <c r="CA35" s="1578"/>
      <c r="CB35" s="1726"/>
      <c r="CC35" s="1726"/>
      <c r="CD35" s="1726"/>
      <c r="CE35" s="1729"/>
      <c r="CF35" s="1579"/>
      <c r="CG35" s="1727"/>
      <c r="CH35" s="98" t="s">
        <v>337</v>
      </c>
    </row>
    <row r="36" spans="1:86" ht="27" customHeight="1">
      <c r="A36" s="2881" t="s">
        <v>1120</v>
      </c>
      <c r="B36" s="2881"/>
      <c r="C36" s="2225"/>
      <c r="D36" s="1729"/>
      <c r="E36" s="1578"/>
      <c r="F36" s="1726"/>
      <c r="G36" s="1726"/>
      <c r="H36" s="1726"/>
      <c r="I36" s="1726"/>
      <c r="J36" s="1726"/>
      <c r="K36" s="1726"/>
      <c r="L36" s="1726"/>
      <c r="M36" s="1726"/>
      <c r="N36" s="1726"/>
      <c r="O36" s="1726"/>
      <c r="P36" s="1726"/>
      <c r="Q36" s="1726"/>
      <c r="R36" s="1726"/>
      <c r="S36" s="1729"/>
      <c r="T36" s="1579"/>
      <c r="U36" s="1727"/>
      <c r="V36" s="1578"/>
      <c r="W36" s="1729"/>
      <c r="X36" s="1742"/>
      <c r="Y36" s="1726"/>
      <c r="Z36" s="1726"/>
      <c r="AA36" s="1726"/>
      <c r="AB36" s="1726"/>
      <c r="AC36" s="1726"/>
      <c r="AD36" s="1726"/>
      <c r="AE36" s="1726"/>
      <c r="AF36" s="1726"/>
      <c r="AG36" s="1729"/>
      <c r="AH36" s="1579"/>
      <c r="AI36" s="1727"/>
      <c r="AJ36" s="1578"/>
      <c r="AK36" s="1726"/>
      <c r="AL36" s="1726"/>
      <c r="AM36" s="1726"/>
      <c r="AN36" s="1726"/>
      <c r="AO36" s="1726"/>
      <c r="AP36" s="1726"/>
      <c r="AQ36" s="1726"/>
      <c r="AR36" s="1726"/>
      <c r="AS36" s="1729"/>
      <c r="AT36" s="1579"/>
      <c r="AU36" s="1727"/>
      <c r="AV36" s="1578"/>
      <c r="AW36" s="1726"/>
      <c r="AX36" s="1726"/>
      <c r="AY36" s="1726"/>
      <c r="AZ36" s="1726"/>
      <c r="BA36" s="1726"/>
      <c r="BB36" s="1726"/>
      <c r="BC36" s="1726"/>
      <c r="BD36" s="1726"/>
      <c r="BE36" s="1788"/>
      <c r="BF36" s="1579"/>
      <c r="BG36" s="1727"/>
      <c r="BH36" s="1578"/>
      <c r="BI36" s="1726"/>
      <c r="BJ36" s="1726"/>
      <c r="BK36" s="1729"/>
      <c r="BL36" s="1579"/>
      <c r="BM36" s="1727"/>
      <c r="BN36" s="1578"/>
      <c r="BO36" s="1726"/>
      <c r="BP36" s="1726"/>
      <c r="BQ36" s="1726"/>
      <c r="BR36" s="1726"/>
      <c r="BS36" s="1726"/>
      <c r="BT36" s="1726"/>
      <c r="BU36" s="1726"/>
      <c r="BV36" s="1726"/>
      <c r="BW36" s="1726"/>
      <c r="BX36" s="1788"/>
      <c r="BY36" s="1579"/>
      <c r="BZ36" s="1727"/>
      <c r="CA36" s="1578"/>
      <c r="CB36" s="1726"/>
      <c r="CC36" s="1726"/>
      <c r="CD36" s="1726"/>
      <c r="CE36" s="1729"/>
      <c r="CF36" s="1579"/>
      <c r="CG36" s="1727"/>
      <c r="CH36" s="98" t="s">
        <v>337</v>
      </c>
    </row>
    <row r="37" spans="1:86" ht="24" customHeight="1">
      <c r="A37" s="2881" t="s">
        <v>1246</v>
      </c>
      <c r="B37" s="2881"/>
      <c r="C37" s="2222">
        <f>SUM(C30:C33)/12*C22+(((C36+C35+C34)*C22*C24)/12)+C29+C28</f>
        <v>0</v>
      </c>
      <c r="D37" s="1721">
        <f t="shared" ref="D37:S37" si="20">SUM(D30:D33)/12*D22+(((D36+D35+D34)*D22*D24)/12)+D29+D28</f>
        <v>0</v>
      </c>
      <c r="E37" s="1577">
        <f t="shared" si="20"/>
        <v>0</v>
      </c>
      <c r="F37" s="1720">
        <f t="shared" si="20"/>
        <v>0</v>
      </c>
      <c r="G37" s="1720">
        <f t="shared" si="20"/>
        <v>0</v>
      </c>
      <c r="H37" s="1720">
        <f t="shared" si="20"/>
        <v>0</v>
      </c>
      <c r="I37" s="1720">
        <f t="shared" si="20"/>
        <v>0</v>
      </c>
      <c r="J37" s="1720">
        <f t="shared" si="20"/>
        <v>0</v>
      </c>
      <c r="K37" s="1720">
        <f t="shared" si="20"/>
        <v>0</v>
      </c>
      <c r="L37" s="1720">
        <f t="shared" si="20"/>
        <v>0</v>
      </c>
      <c r="M37" s="1720">
        <f t="shared" si="20"/>
        <v>0</v>
      </c>
      <c r="N37" s="1720">
        <f t="shared" si="20"/>
        <v>0</v>
      </c>
      <c r="O37" s="1720">
        <f t="shared" si="20"/>
        <v>0</v>
      </c>
      <c r="P37" s="1720">
        <f t="shared" si="20"/>
        <v>0</v>
      </c>
      <c r="Q37" s="1720">
        <f t="shared" si="20"/>
        <v>0</v>
      </c>
      <c r="R37" s="1720">
        <f t="shared" si="20"/>
        <v>0</v>
      </c>
      <c r="S37" s="1721">
        <f t="shared" si="20"/>
        <v>0</v>
      </c>
      <c r="T37" s="1579"/>
      <c r="U37" s="1727"/>
      <c r="V37" s="1577">
        <f t="shared" ref="V37" si="21">SUM(V30:V33)/12*V22+(((V36+V35+V34)*V22*V24)/12)+V29+V28</f>
        <v>0</v>
      </c>
      <c r="W37" s="1721">
        <f t="shared" ref="W37" si="22">SUM(W30:W33)/12*W22+(((W36+W35+W34)*W22*W24)/12)+W29+W28</f>
        <v>0</v>
      </c>
      <c r="X37" s="1741">
        <f t="shared" ref="X37" si="23">SUM(X30:X33)/12*X22+(((X36+X35+X34)*X22*X24)/12)+X29+X28</f>
        <v>0</v>
      </c>
      <c r="Y37" s="1720">
        <f t="shared" ref="Y37" si="24">SUM(Y30:Y33)/12*Y22+(((Y36+Y35+Y34)*Y22*Y24)/12)+Y29+Y28</f>
        <v>0</v>
      </c>
      <c r="Z37" s="1720">
        <f t="shared" ref="Z37" si="25">SUM(Z30:Z33)/12*Z22+(((Z36+Z35+Z34)*Z22*Z24)/12)+Z29+Z28</f>
        <v>0</v>
      </c>
      <c r="AA37" s="1720">
        <f t="shared" ref="AA37" si="26">SUM(AA30:AA33)/12*AA22+(((AA36+AA35+AA34)*AA22*AA24)/12)+AA29+AA28</f>
        <v>0</v>
      </c>
      <c r="AB37" s="1720">
        <f t="shared" ref="AB37" si="27">SUM(AB30:AB33)/12*AB22+(((AB36+AB35+AB34)*AB22*AB24)/12)+AB29+AB28</f>
        <v>0</v>
      </c>
      <c r="AC37" s="1720">
        <f t="shared" ref="AC37" si="28">SUM(AC30:AC33)/12*AC22+(((AC36+AC35+AC34)*AC22*AC24)/12)+AC29+AC28</f>
        <v>0</v>
      </c>
      <c r="AD37" s="1720">
        <f t="shared" ref="AD37" si="29">SUM(AD30:AD33)/12*AD22+(((AD36+AD35+AD34)*AD22*AD24)/12)+AD29+AD28</f>
        <v>0</v>
      </c>
      <c r="AE37" s="1720">
        <f t="shared" ref="AE37" si="30">SUM(AE30:AE33)/12*AE22+(((AE36+AE35+AE34)*AE22*AE24)/12)+AE29+AE28</f>
        <v>0</v>
      </c>
      <c r="AF37" s="1720">
        <f t="shared" ref="AF37" si="31">SUM(AF30:AF33)/12*AF22+(((AF36+AF35+AF34)*AF22*AF24)/12)+AF29+AF28</f>
        <v>0</v>
      </c>
      <c r="AG37" s="1721">
        <f t="shared" ref="AG37" si="32">SUM(AG30:AG33)/12*AG22+(((AG36+AG35+AG34)*AG22*AG24)/12)+AG29+AG28</f>
        <v>0</v>
      </c>
      <c r="AH37" s="1579"/>
      <c r="AI37" s="1727"/>
      <c r="AJ37" s="1577">
        <f t="shared" ref="AJ37" si="33">SUM(AJ30:AJ33)/12*AJ22+(((AJ36+AJ35+AJ34)*AJ22*AJ24)/12)+AJ29+AJ28</f>
        <v>0</v>
      </c>
      <c r="AK37" s="1720">
        <f t="shared" ref="AK37" si="34">SUM(AK30:AK33)/12*AK22+(((AK36+AK35+AK34)*AK22*AK24)/12)+AK29+AK28</f>
        <v>0</v>
      </c>
      <c r="AL37" s="1720">
        <f t="shared" ref="AL37" si="35">SUM(AL30:AL33)/12*AL22+(((AL36+AL35+AL34)*AL22*AL24)/12)+AL29+AL28</f>
        <v>0</v>
      </c>
      <c r="AM37" s="1720">
        <f t="shared" ref="AM37" si="36">SUM(AM30:AM33)/12*AM22+(((AM36+AM35+AM34)*AM22*AM24)/12)+AM29+AM28</f>
        <v>0</v>
      </c>
      <c r="AN37" s="1720">
        <f t="shared" ref="AN37" si="37">SUM(AN30:AN33)/12*AN22+(((AN36+AN35+AN34)*AN22*AN24)/12)+AN29+AN28</f>
        <v>0</v>
      </c>
      <c r="AO37" s="1720">
        <f t="shared" ref="AO37" si="38">SUM(AO30:AO33)/12*AO22+(((AO36+AO35+AO34)*AO22*AO24)/12)+AO29+AO28</f>
        <v>0</v>
      </c>
      <c r="AP37" s="1720">
        <f t="shared" ref="AP37" si="39">SUM(AP30:AP33)/12*AP22+(((AP36+AP35+AP34)*AP22*AP24)/12)+AP29+AP28</f>
        <v>0</v>
      </c>
      <c r="AQ37" s="1720">
        <f t="shared" ref="AQ37" si="40">SUM(AQ30:AQ33)/12*AQ22+(((AQ36+AQ35+AQ34)*AQ22*AQ24)/12)+AQ29+AQ28</f>
        <v>0</v>
      </c>
      <c r="AR37" s="1720">
        <f t="shared" ref="AR37" si="41">SUM(AR30:AR33)/12*AR22+(((AR36+AR35+AR34)*AR22*AR24)/12)+AR29+AR28</f>
        <v>0</v>
      </c>
      <c r="AS37" s="1721">
        <f t="shared" ref="AS37" si="42">SUM(AS30:AS33)/12*AS22+(((AS36+AS35+AS34)*AS22*AS24)/12)+AS29+AS28</f>
        <v>0</v>
      </c>
      <c r="AT37" s="1579"/>
      <c r="AU37" s="1727"/>
      <c r="AV37" s="1577">
        <f t="shared" ref="AV37" si="43">SUM(AV30:AV33)/12*AV22+(((AV36+AV35+AV34)*AV22*AV24)/12)+AV29+AV28</f>
        <v>0</v>
      </c>
      <c r="AW37" s="1720">
        <f t="shared" ref="AW37" si="44">SUM(AW30:AW33)/12*AW22+(((AW36+AW35+AW34)*AW22*AW24)/12)+AW29+AW28</f>
        <v>0</v>
      </c>
      <c r="AX37" s="1720">
        <f t="shared" ref="AX37" si="45">SUM(AX30:AX33)/12*AX22+(((AX36+AX35+AX34)*AX22*AX24)/12)+AX29+AX28</f>
        <v>0</v>
      </c>
      <c r="AY37" s="1720">
        <f t="shared" ref="AY37" si="46">SUM(AY30:AY33)/12*AY22+(((AY36+AY35+AY34)*AY22*AY24)/12)+AY29+AY28</f>
        <v>0</v>
      </c>
      <c r="AZ37" s="1720">
        <f t="shared" ref="AZ37" si="47">SUM(AZ30:AZ33)/12*AZ22+(((AZ36+AZ35+AZ34)*AZ22*AZ24)/12)+AZ29+AZ28</f>
        <v>0</v>
      </c>
      <c r="BA37" s="1720">
        <f t="shared" ref="BA37" si="48">SUM(BA30:BA33)/12*BA22+(((BA36+BA35+BA34)*BA22*BA24)/12)+BA29+BA28</f>
        <v>0</v>
      </c>
      <c r="BB37" s="1720">
        <f t="shared" ref="BB37" si="49">SUM(BB30:BB33)/12*BB22+(((BB36+BB35+BB34)*BB22*BB24)/12)+BB29+BB28</f>
        <v>0</v>
      </c>
      <c r="BC37" s="1720">
        <f t="shared" ref="BC37" si="50">SUM(BC30:BC33)/12*BC22+(((BC36+BC35+BC34)*BC22*BC24)/12)+BC29+BC28</f>
        <v>0</v>
      </c>
      <c r="BD37" s="1720">
        <f t="shared" ref="BD37" si="51">SUM(BD30:BD33)/12*BD22+(((BD36+BD35+BD34)*BD22*BD24)/12)+BD29+BD28</f>
        <v>0</v>
      </c>
      <c r="BE37" s="1786">
        <f t="shared" ref="BE37" si="52">SUM(BE30:BE33)/12*BE22+(((BE36+BE35+BE34)*BE22*BE24)/12)+BE29+BE28</f>
        <v>0</v>
      </c>
      <c r="BF37" s="1579"/>
      <c r="BG37" s="1727"/>
      <c r="BH37" s="1577">
        <f t="shared" ref="BH37" si="53">SUM(BH30:BH33)/12*BH22+(((BH36+BH35+BH34)*BH22*BH24)/12)+BH29+BH28</f>
        <v>0</v>
      </c>
      <c r="BI37" s="1720">
        <f t="shared" ref="BI37" si="54">SUM(BI30:BI33)/12*BI22+(((BI36+BI35+BI34)*BI22*BI24)/12)+BI29+BI28</f>
        <v>0</v>
      </c>
      <c r="BJ37" s="1720">
        <f t="shared" ref="BJ37" si="55">SUM(BJ30:BJ33)/12*BJ22+(((BJ36+BJ35+BJ34)*BJ22*BJ24)/12)+BJ29+BJ28</f>
        <v>0</v>
      </c>
      <c r="BK37" s="1721">
        <f t="shared" ref="BK37" si="56">SUM(BK30:BK33)/12*BK22+(((BK36+BK35+BK34)*BK22*BK24)/12)+BK29+BK28</f>
        <v>0</v>
      </c>
      <c r="BL37" s="1579"/>
      <c r="BM37" s="1727"/>
      <c r="BN37" s="1577">
        <f t="shared" ref="BN37" si="57">SUM(BN30:BN33)/12*BN22+(((BN36+BN35+BN34)*BN22*BN24)/12)+BN29+BN28</f>
        <v>0</v>
      </c>
      <c r="BO37" s="1720">
        <f t="shared" ref="BO37" si="58">SUM(BO30:BO33)/12*BO22+(((BO36+BO35+BO34)*BO22*BO24)/12)+BO29+BO28</f>
        <v>0</v>
      </c>
      <c r="BP37" s="1720">
        <f t="shared" ref="BP37" si="59">SUM(BP30:BP33)/12*BP22+(((BP36+BP35+BP34)*BP22*BP24)/12)+BP29+BP28</f>
        <v>0</v>
      </c>
      <c r="BQ37" s="1720">
        <f t="shared" ref="BQ37" si="60">SUM(BQ30:BQ33)/12*BQ22+(((BQ36+BQ35+BQ34)*BQ22*BQ24)/12)+BQ29+BQ28</f>
        <v>0</v>
      </c>
      <c r="BR37" s="1720">
        <f t="shared" ref="BR37" si="61">SUM(BR30:BR33)/12*BR22+(((BR36+BR35+BR34)*BR22*BR24)/12)+BR29+BR28</f>
        <v>0</v>
      </c>
      <c r="BS37" s="1720">
        <f t="shared" ref="BS37" si="62">SUM(BS30:BS33)/12*BS22+(((BS36+BS35+BS34)*BS22*BS24)/12)+BS29+BS28</f>
        <v>0</v>
      </c>
      <c r="BT37" s="1720">
        <f t="shared" ref="BT37" si="63">SUM(BT30:BT33)/12*BT22+(((BT36+BT35+BT34)*BT22*BT24)/12)+BT29+BT28</f>
        <v>0</v>
      </c>
      <c r="BU37" s="1720">
        <f t="shared" ref="BU37" si="64">SUM(BU30:BU33)/12*BU22+(((BU36+BU35+BU34)*BU22*BU24)/12)+BU29+BU28</f>
        <v>0</v>
      </c>
      <c r="BV37" s="1720">
        <f t="shared" ref="BV37" si="65">SUM(BV30:BV33)/12*BV22+(((BV36+BV35+BV34)*BV22*BV24)/12)+BV29+BV28</f>
        <v>0</v>
      </c>
      <c r="BW37" s="1720">
        <f t="shared" ref="BW37" si="66">SUM(BW30:BW33)/12*BW22+(((BW36+BW35+BW34)*BW22*BW24)/12)+BW29+BW28</f>
        <v>0</v>
      </c>
      <c r="BX37" s="1786">
        <f t="shared" ref="BX37" si="67">SUM(BX30:BX33)/12*BX22+(((BX36+BX35+BX34)*BX22*BX24)/12)+BX29+BX28</f>
        <v>0</v>
      </c>
      <c r="BY37" s="1579"/>
      <c r="BZ37" s="1727"/>
      <c r="CA37" s="1577">
        <f t="shared" ref="CA37" si="68">SUM(CA30:CA33)/12*CA22+(((CA36+CA35+CA34)*CA22*CA24)/12)+CA29+CA28</f>
        <v>0</v>
      </c>
      <c r="CB37" s="1720">
        <f t="shared" ref="CB37" si="69">SUM(CB30:CB33)/12*CB22+(((CB36+CB35+CB34)*CB22*CB24)/12)+CB29+CB28</f>
        <v>0</v>
      </c>
      <c r="CC37" s="1720">
        <f t="shared" ref="CC37" si="70">SUM(CC30:CC33)/12*CC22+(((CC36+CC35+CC34)*CC22*CC24)/12)+CC29+CC28</f>
        <v>0</v>
      </c>
      <c r="CD37" s="1720">
        <f t="shared" ref="CD37" si="71">SUM(CD30:CD33)/12*CD22+(((CD36+CD35+CD34)*CD22*CD24)/12)+CD29+CD28</f>
        <v>0</v>
      </c>
      <c r="CE37" s="1721">
        <f t="shared" ref="CE37" si="72">SUM(CE30:CE33)/12*CE22+(((CE36+CE35+CE34)*CE22*CE24)/12)+CE29+CE28</f>
        <v>0</v>
      </c>
      <c r="CF37" s="1579"/>
      <c r="CG37" s="1727"/>
    </row>
    <row r="38" spans="1:86" ht="24" customHeight="1">
      <c r="A38" s="2882" t="s">
        <v>1109</v>
      </c>
      <c r="B38" s="2882"/>
      <c r="C38" s="2225"/>
      <c r="D38" s="1729"/>
      <c r="E38" s="1578"/>
      <c r="F38" s="1726"/>
      <c r="G38" s="1726"/>
      <c r="H38" s="1726"/>
      <c r="I38" s="1726"/>
      <c r="J38" s="1726"/>
      <c r="K38" s="1726"/>
      <c r="L38" s="1726"/>
      <c r="M38" s="1726"/>
      <c r="N38" s="1726"/>
      <c r="O38" s="1726"/>
      <c r="P38" s="1726"/>
      <c r="Q38" s="1726"/>
      <c r="R38" s="1726"/>
      <c r="S38" s="1729"/>
      <c r="T38" s="1578"/>
      <c r="U38" s="1729"/>
      <c r="V38" s="1578"/>
      <c r="W38" s="1729"/>
      <c r="X38" s="1742"/>
      <c r="Y38" s="1726"/>
      <c r="Z38" s="1726"/>
      <c r="AA38" s="1726"/>
      <c r="AB38" s="1726"/>
      <c r="AC38" s="1726"/>
      <c r="AD38" s="1726"/>
      <c r="AE38" s="1726"/>
      <c r="AF38" s="1726"/>
      <c r="AG38" s="1729"/>
      <c r="AH38" s="1578"/>
      <c r="AI38" s="1729"/>
      <c r="AJ38" s="1578"/>
      <c r="AK38" s="1726"/>
      <c r="AL38" s="1726"/>
      <c r="AM38" s="1726"/>
      <c r="AN38" s="1726"/>
      <c r="AO38" s="1726"/>
      <c r="AP38" s="1726"/>
      <c r="AQ38" s="1726"/>
      <c r="AR38" s="1726"/>
      <c r="AS38" s="1729"/>
      <c r="AT38" s="1578"/>
      <c r="AU38" s="1729"/>
      <c r="AV38" s="1578"/>
      <c r="AW38" s="1726"/>
      <c r="AX38" s="1726"/>
      <c r="AY38" s="1726"/>
      <c r="AZ38" s="1726"/>
      <c r="BA38" s="1726"/>
      <c r="BB38" s="1726"/>
      <c r="BC38" s="1726"/>
      <c r="BD38" s="1726"/>
      <c r="BE38" s="1788"/>
      <c r="BF38" s="1578"/>
      <c r="BG38" s="1729"/>
      <c r="BH38" s="1578"/>
      <c r="BI38" s="1726"/>
      <c r="BJ38" s="1726"/>
      <c r="BK38" s="1729"/>
      <c r="BL38" s="1578"/>
      <c r="BM38" s="1729"/>
      <c r="BN38" s="1798"/>
      <c r="BO38" s="1728"/>
      <c r="BP38" s="1728"/>
      <c r="BQ38" s="1728"/>
      <c r="BR38" s="1726"/>
      <c r="BS38" s="1726"/>
      <c r="BT38" s="1726"/>
      <c r="BU38" s="1726"/>
      <c r="BV38" s="1726"/>
      <c r="BW38" s="1728"/>
      <c r="BX38" s="1788"/>
      <c r="BY38" s="1578"/>
      <c r="BZ38" s="1729"/>
      <c r="CA38" s="1798"/>
      <c r="CB38" s="1726"/>
      <c r="CC38" s="1728"/>
      <c r="CD38" s="1726"/>
      <c r="CE38" s="1806"/>
      <c r="CF38" s="1578"/>
      <c r="CG38" s="1729"/>
      <c r="CH38" s="98" t="s">
        <v>338</v>
      </c>
    </row>
    <row r="39" spans="1:86" ht="24" customHeight="1">
      <c r="A39" s="2882" t="s">
        <v>1109</v>
      </c>
      <c r="B39" s="2882"/>
      <c r="C39" s="2225"/>
      <c r="D39" s="1729"/>
      <c r="E39" s="1578"/>
      <c r="F39" s="1726"/>
      <c r="G39" s="1726"/>
      <c r="H39" s="1726"/>
      <c r="I39" s="1726"/>
      <c r="J39" s="1726"/>
      <c r="K39" s="1726"/>
      <c r="L39" s="1726"/>
      <c r="M39" s="1726"/>
      <c r="N39" s="1726"/>
      <c r="O39" s="1726"/>
      <c r="P39" s="1726"/>
      <c r="Q39" s="1726"/>
      <c r="R39" s="1726"/>
      <c r="S39" s="1729"/>
      <c r="T39" s="1578"/>
      <c r="U39" s="1729"/>
      <c r="V39" s="1578"/>
      <c r="W39" s="1729"/>
      <c r="X39" s="1742"/>
      <c r="Y39" s="1726"/>
      <c r="Z39" s="1726"/>
      <c r="AA39" s="1726"/>
      <c r="AB39" s="1726"/>
      <c r="AC39" s="1726"/>
      <c r="AD39" s="1726"/>
      <c r="AE39" s="1726"/>
      <c r="AF39" s="1726"/>
      <c r="AG39" s="1729"/>
      <c r="AH39" s="1578"/>
      <c r="AI39" s="1729"/>
      <c r="AJ39" s="1578"/>
      <c r="AK39" s="1726"/>
      <c r="AL39" s="1726"/>
      <c r="AM39" s="1726"/>
      <c r="AN39" s="1726"/>
      <c r="AO39" s="1726"/>
      <c r="AP39" s="1726"/>
      <c r="AQ39" s="1726"/>
      <c r="AR39" s="1726"/>
      <c r="AS39" s="1729"/>
      <c r="AT39" s="1578"/>
      <c r="AU39" s="1729"/>
      <c r="AV39" s="1578"/>
      <c r="AW39" s="1726"/>
      <c r="AX39" s="1726"/>
      <c r="AY39" s="1726"/>
      <c r="AZ39" s="1726"/>
      <c r="BA39" s="1726"/>
      <c r="BB39" s="1726"/>
      <c r="BC39" s="1726"/>
      <c r="BD39" s="1726"/>
      <c r="BE39" s="1788"/>
      <c r="BF39" s="1578"/>
      <c r="BG39" s="1729"/>
      <c r="BH39" s="1578"/>
      <c r="BI39" s="1726"/>
      <c r="BJ39" s="1726"/>
      <c r="BK39" s="1729"/>
      <c r="BL39" s="1578"/>
      <c r="BM39" s="1729"/>
      <c r="BN39" s="1798"/>
      <c r="BO39" s="1728"/>
      <c r="BP39" s="1728"/>
      <c r="BQ39" s="1728"/>
      <c r="BR39" s="1726"/>
      <c r="BS39" s="1726"/>
      <c r="BT39" s="1726"/>
      <c r="BU39" s="1726"/>
      <c r="BV39" s="1726"/>
      <c r="BW39" s="1728"/>
      <c r="BX39" s="1788"/>
      <c r="BY39" s="1578"/>
      <c r="BZ39" s="1729"/>
      <c r="CA39" s="1798"/>
      <c r="CB39" s="1726"/>
      <c r="CC39" s="1728"/>
      <c r="CD39" s="1726"/>
      <c r="CE39" s="1806"/>
      <c r="CF39" s="1578"/>
      <c r="CG39" s="1729"/>
      <c r="CH39" s="98" t="s">
        <v>338</v>
      </c>
    </row>
    <row r="40" spans="1:86" ht="23" customHeight="1">
      <c r="A40" s="2882" t="s">
        <v>1139</v>
      </c>
      <c r="B40" s="2882"/>
      <c r="C40" s="2225"/>
      <c r="D40" s="1729"/>
      <c r="E40" s="1578"/>
      <c r="F40" s="1726"/>
      <c r="G40" s="1726"/>
      <c r="H40" s="1726"/>
      <c r="I40" s="1726"/>
      <c r="J40" s="1726"/>
      <c r="K40" s="1726"/>
      <c r="L40" s="1726"/>
      <c r="M40" s="1726"/>
      <c r="N40" s="1726"/>
      <c r="O40" s="1726"/>
      <c r="P40" s="1726"/>
      <c r="Q40" s="1726"/>
      <c r="R40" s="1726"/>
      <c r="S40" s="1729"/>
      <c r="T40" s="1579"/>
      <c r="U40" s="1727"/>
      <c r="V40" s="1578"/>
      <c r="W40" s="1729"/>
      <c r="X40" s="1742"/>
      <c r="Y40" s="1726"/>
      <c r="Z40" s="1726"/>
      <c r="AA40" s="1726"/>
      <c r="AB40" s="1726"/>
      <c r="AC40" s="1726"/>
      <c r="AD40" s="1726"/>
      <c r="AE40" s="1726"/>
      <c r="AF40" s="1726"/>
      <c r="AG40" s="1729"/>
      <c r="AH40" s="1579"/>
      <c r="AI40" s="1727"/>
      <c r="AJ40" s="1578"/>
      <c r="AK40" s="1726"/>
      <c r="AL40" s="1726"/>
      <c r="AM40" s="1726"/>
      <c r="AN40" s="1726"/>
      <c r="AO40" s="1726"/>
      <c r="AP40" s="1726"/>
      <c r="AQ40" s="1726"/>
      <c r="AR40" s="1726"/>
      <c r="AS40" s="1729"/>
      <c r="AT40" s="1579"/>
      <c r="AU40" s="1727"/>
      <c r="AV40" s="1578"/>
      <c r="AW40" s="1726"/>
      <c r="AX40" s="1726"/>
      <c r="AY40" s="1726"/>
      <c r="AZ40" s="1726"/>
      <c r="BA40" s="1726"/>
      <c r="BB40" s="1726"/>
      <c r="BC40" s="1726"/>
      <c r="BD40" s="1726"/>
      <c r="BE40" s="1788"/>
      <c r="BF40" s="1579"/>
      <c r="BG40" s="1727"/>
      <c r="BH40" s="1578"/>
      <c r="BI40" s="1726"/>
      <c r="BJ40" s="1726"/>
      <c r="BK40" s="1729"/>
      <c r="BL40" s="1579"/>
      <c r="BM40" s="1727"/>
      <c r="BN40" s="1798"/>
      <c r="BO40" s="1728"/>
      <c r="BP40" s="1728"/>
      <c r="BQ40" s="1728"/>
      <c r="BR40" s="1726"/>
      <c r="BS40" s="1726"/>
      <c r="BT40" s="1726"/>
      <c r="BU40" s="1726"/>
      <c r="BV40" s="1726"/>
      <c r="BW40" s="1728"/>
      <c r="BX40" s="1788"/>
      <c r="BY40" s="1579"/>
      <c r="BZ40" s="1727"/>
      <c r="CA40" s="1798"/>
      <c r="CB40" s="1726"/>
      <c r="CC40" s="1728"/>
      <c r="CD40" s="1726"/>
      <c r="CE40" s="1806"/>
      <c r="CF40" s="1579"/>
      <c r="CG40" s="1727"/>
      <c r="CH40" s="98" t="s">
        <v>339</v>
      </c>
    </row>
    <row r="41" spans="1:86" ht="24" customHeight="1">
      <c r="A41" s="2882" t="s">
        <v>1097</v>
      </c>
      <c r="B41" s="2882"/>
      <c r="C41" s="1730">
        <f t="shared" ref="C41:F41" si="73">C27+SUM(C37:C40)+IF(C18="Ja",(C27+C37+C38+C39)*0.8%)</f>
        <v>0</v>
      </c>
      <c r="D41" s="1730">
        <f t="shared" si="73"/>
        <v>0</v>
      </c>
      <c r="E41" s="1730">
        <f t="shared" si="73"/>
        <v>0</v>
      </c>
      <c r="F41" s="1730">
        <f t="shared" si="73"/>
        <v>0</v>
      </c>
      <c r="G41" s="1730">
        <f>G27+SUM(G37:G40)+IF(G18="Ja",(G27+G37+G38+G39)*0.8%)</f>
        <v>0</v>
      </c>
      <c r="H41" s="1730">
        <f>H27+SUM(H37:H40)+IF(H18="Ja",(H27+H37+H38+H39)*0.8%)</f>
        <v>0</v>
      </c>
      <c r="I41" s="1730">
        <f t="shared" ref="I41:S41" si="74">I27+SUM(I37:I40)+IF(I18="Ja",(I27+I37+I38+I39)*0.8%)</f>
        <v>0</v>
      </c>
      <c r="J41" s="1730">
        <f t="shared" si="74"/>
        <v>0</v>
      </c>
      <c r="K41" s="1730">
        <f t="shared" si="74"/>
        <v>0</v>
      </c>
      <c r="L41" s="1730">
        <f t="shared" si="74"/>
        <v>0</v>
      </c>
      <c r="M41" s="1730">
        <f t="shared" si="74"/>
        <v>0</v>
      </c>
      <c r="N41" s="1730">
        <f t="shared" si="74"/>
        <v>0</v>
      </c>
      <c r="O41" s="1730">
        <f t="shared" si="74"/>
        <v>0</v>
      </c>
      <c r="P41" s="1730">
        <f t="shared" si="74"/>
        <v>0</v>
      </c>
      <c r="Q41" s="1730">
        <f t="shared" si="74"/>
        <v>0</v>
      </c>
      <c r="R41" s="1730">
        <f t="shared" si="74"/>
        <v>0</v>
      </c>
      <c r="S41" s="1730">
        <f t="shared" si="74"/>
        <v>0</v>
      </c>
      <c r="T41" s="1580">
        <f>T26+((T38+T39)*T22)</f>
        <v>0</v>
      </c>
      <c r="U41" s="1731">
        <f>U26+((U38+U39)*U22)</f>
        <v>0</v>
      </c>
      <c r="V41" s="1730">
        <f>V27+SUM(V37:V40)+IF(V18="Ja",(V27+V37+V38+V39)*0.8%)</f>
        <v>0</v>
      </c>
      <c r="W41" s="1730">
        <f t="shared" ref="W41:AG41" si="75">W27+SUM(W37:W40)+IF(W18="Ja",(W27+W37+W38+W39)*0.8%)</f>
        <v>0</v>
      </c>
      <c r="X41" s="1730">
        <f t="shared" si="75"/>
        <v>0</v>
      </c>
      <c r="Y41" s="1730">
        <f t="shared" si="75"/>
        <v>0</v>
      </c>
      <c r="Z41" s="1730">
        <f t="shared" si="75"/>
        <v>0</v>
      </c>
      <c r="AA41" s="1730">
        <f t="shared" si="75"/>
        <v>0</v>
      </c>
      <c r="AB41" s="1730">
        <f t="shared" si="75"/>
        <v>0</v>
      </c>
      <c r="AC41" s="1730">
        <f t="shared" si="75"/>
        <v>0</v>
      </c>
      <c r="AD41" s="1730">
        <f t="shared" si="75"/>
        <v>0</v>
      </c>
      <c r="AE41" s="1730">
        <f t="shared" si="75"/>
        <v>0</v>
      </c>
      <c r="AF41" s="1730">
        <f t="shared" si="75"/>
        <v>0</v>
      </c>
      <c r="AG41" s="1730">
        <f t="shared" si="75"/>
        <v>0</v>
      </c>
      <c r="AH41" s="1580">
        <f>AH26+((AH38+AH39)*AH22)</f>
        <v>0</v>
      </c>
      <c r="AI41" s="1731">
        <f>AI26+((AI38+AI39)*AI22)</f>
        <v>0</v>
      </c>
      <c r="AJ41" s="1730">
        <f t="shared" ref="AJ41" si="76">AJ27+SUM(AJ37:AJ40)+IF(AJ18="Ja",(AJ27+AJ37+AJ38+AJ39)*0.8%)</f>
        <v>0</v>
      </c>
      <c r="AK41" s="1730">
        <f t="shared" ref="AK41" si="77">AK27+SUM(AK37:AK40)+IF(AK18="Ja",(AK27+AK37+AK38+AK39)*0.8%)</f>
        <v>0</v>
      </c>
      <c r="AL41" s="1730">
        <f t="shared" ref="AL41" si="78">AL27+SUM(AL37:AL40)+IF(AL18="Ja",(AL27+AL37+AL38+AL39)*0.8%)</f>
        <v>0</v>
      </c>
      <c r="AM41" s="1730">
        <f t="shared" ref="AM41" si="79">AM27+SUM(AM37:AM40)+IF(AM18="Ja",(AM27+AM37+AM38+AM39)*0.8%)</f>
        <v>0</v>
      </c>
      <c r="AN41" s="1730">
        <f t="shared" ref="AN41" si="80">AN27+SUM(AN37:AN40)+IF(AN18="Ja",(AN27+AN37+AN38+AN39)*0.8%)</f>
        <v>0</v>
      </c>
      <c r="AO41" s="1730">
        <f t="shared" ref="AO41" si="81">AO27+SUM(AO37:AO40)+IF(AO18="Ja",(AO27+AO37+AO38+AO39)*0.8%)</f>
        <v>0</v>
      </c>
      <c r="AP41" s="1730">
        <f t="shared" ref="AP41" si="82">AP27+SUM(AP37:AP40)+IF(AP18="Ja",(AP27+AP37+AP38+AP39)*0.8%)</f>
        <v>0</v>
      </c>
      <c r="AQ41" s="1730">
        <f t="shared" ref="AQ41" si="83">AQ27+SUM(AQ37:AQ40)+IF(AQ18="Ja",(AQ27+AQ37+AQ38+AQ39)*0.8%)</f>
        <v>0</v>
      </c>
      <c r="AR41" s="1730">
        <f t="shared" ref="AR41" si="84">AR27+SUM(AR37:AR40)+IF(AR18="Ja",(AR27+AR37+AR38+AR39)*0.8%)</f>
        <v>0</v>
      </c>
      <c r="AS41" s="1730">
        <f t="shared" ref="AS41" si="85">AS27+SUM(AS37:AS40)+IF(AS18="Ja",(AS27+AS37+AS38+AS39)*0.8%)</f>
        <v>0</v>
      </c>
      <c r="AT41" s="1580">
        <f>AT26+((AT38+AT39)*AT22)</f>
        <v>0</v>
      </c>
      <c r="AU41" s="1731">
        <f>AU26+((AU38+AU39)*AU22)</f>
        <v>0</v>
      </c>
      <c r="AV41" s="1730">
        <f t="shared" ref="AV41" si="86">AV27+SUM(AV37:AV40)+IF(AV18="Ja",(AV27+AV37+AV38+AV39)*0.8%)</f>
        <v>0</v>
      </c>
      <c r="AW41" s="1730">
        <f t="shared" ref="AW41" si="87">AW27+SUM(AW37:AW40)+IF(AW18="Ja",(AW27+AW37+AW38+AW39)*0.8%)</f>
        <v>0</v>
      </c>
      <c r="AX41" s="1730">
        <f t="shared" ref="AX41" si="88">AX27+SUM(AX37:AX40)+IF(AX18="Ja",(AX27+AX37+AX38+AX39)*0.8%)</f>
        <v>0</v>
      </c>
      <c r="AY41" s="1730">
        <f t="shared" ref="AY41" si="89">AY27+SUM(AY37:AY40)+IF(AY18="Ja",(AY27+AY37+AY38+AY39)*0.8%)</f>
        <v>0</v>
      </c>
      <c r="AZ41" s="1730">
        <f t="shared" ref="AZ41" si="90">AZ27+SUM(AZ37:AZ40)+IF(AZ18="Ja",(AZ27+AZ37+AZ38+AZ39)*0.8%)</f>
        <v>0</v>
      </c>
      <c r="BA41" s="1730">
        <f t="shared" ref="BA41" si="91">BA27+SUM(BA37:BA40)+IF(BA18="Ja",(BA27+BA37+BA38+BA39)*0.8%)</f>
        <v>0</v>
      </c>
      <c r="BB41" s="1730">
        <f t="shared" ref="BB41" si="92">BB27+SUM(BB37:BB40)+IF(BB18="Ja",(BB27+BB37+BB38+BB39)*0.8%)</f>
        <v>0</v>
      </c>
      <c r="BC41" s="1730">
        <f t="shared" ref="BC41" si="93">BC27+SUM(BC37:BC40)+IF(BC18="Ja",(BC27+BC37+BC38+BC39)*0.8%)</f>
        <v>0</v>
      </c>
      <c r="BD41" s="1730">
        <f t="shared" ref="BD41" si="94">BD27+SUM(BD37:BD40)+IF(BD18="Ja",(BD27+BD37+BD38+BD39)*0.8%)</f>
        <v>0</v>
      </c>
      <c r="BE41" s="1730">
        <f t="shared" ref="BE41" si="95">BE27+SUM(BE37:BE40)+IF(BE18="Ja",(BE27+BE37+BE38+BE39)*0.8%)</f>
        <v>0</v>
      </c>
      <c r="BF41" s="1580">
        <f>BF26+((BF38+BF39)*BF22)</f>
        <v>0</v>
      </c>
      <c r="BG41" s="1731">
        <f>BG26+((BG38+BG39)*BG22)</f>
        <v>0</v>
      </c>
      <c r="BH41" s="1730">
        <f t="shared" ref="BH41" si="96">BH27+SUM(BH37:BH40)+IF(BH18="Ja",(BH27+BH37+BH38+BH39)*0.8%)</f>
        <v>0</v>
      </c>
      <c r="BI41" s="1730">
        <f t="shared" ref="BI41" si="97">BI27+SUM(BI37:BI40)+IF(BI18="Ja",(BI27+BI37+BI38+BI39)*0.8%)</f>
        <v>0</v>
      </c>
      <c r="BJ41" s="1730">
        <f t="shared" ref="BJ41" si="98">BJ27+SUM(BJ37:BJ40)+IF(BJ18="Ja",(BJ27+BJ37+BJ38+BJ39)*0.8%)</f>
        <v>0</v>
      </c>
      <c r="BK41" s="1730">
        <f t="shared" ref="BK41" si="99">BK27+SUM(BK37:BK40)+IF(BK18="Ja",(BK27+BK37+BK38+BK39)*0.8%)</f>
        <v>0</v>
      </c>
      <c r="BL41" s="1580">
        <f>BL26+((BL38+BL39)*BL22)</f>
        <v>0</v>
      </c>
      <c r="BM41" s="1731">
        <f>BM26+((BM38+BM39)*BM22)</f>
        <v>0</v>
      </c>
      <c r="BN41" s="1730">
        <f t="shared" ref="BN41" si="100">BN27+SUM(BN37:BN40)+IF(BN18="Ja",(BN27+BN37+BN38+BN39)*0.8%)</f>
        <v>0</v>
      </c>
      <c r="BO41" s="1730">
        <f t="shared" ref="BO41" si="101">BO27+SUM(BO37:BO40)+IF(BO18="Ja",(BO27+BO37+BO38+BO39)*0.8%)</f>
        <v>0</v>
      </c>
      <c r="BP41" s="1730">
        <f t="shared" ref="BP41" si="102">BP27+SUM(BP37:BP40)+IF(BP18="Ja",(BP27+BP37+BP38+BP39)*0.8%)</f>
        <v>0</v>
      </c>
      <c r="BQ41" s="1730">
        <f t="shared" ref="BQ41" si="103">BQ27+SUM(BQ37:BQ40)+IF(BQ18="Ja",(BQ27+BQ37+BQ38+BQ39)*0.8%)</f>
        <v>0</v>
      </c>
      <c r="BR41" s="1730">
        <f t="shared" ref="BR41" si="104">BR27+SUM(BR37:BR40)+IF(BR18="Ja",(BR27+BR37+BR38+BR39)*0.8%)</f>
        <v>0</v>
      </c>
      <c r="BS41" s="1730">
        <f t="shared" ref="BS41" si="105">BS27+SUM(BS37:BS40)+IF(BS18="Ja",(BS27+BS37+BS38+BS39)*0.8%)</f>
        <v>0</v>
      </c>
      <c r="BT41" s="1730">
        <f t="shared" ref="BT41" si="106">BT27+SUM(BT37:BT40)+IF(BT18="Ja",(BT27+BT37+BT38+BT39)*0.8%)</f>
        <v>0</v>
      </c>
      <c r="BU41" s="1730">
        <f t="shared" ref="BU41" si="107">BU27+SUM(BU37:BU40)+IF(BU18="Ja",(BU27+BU37+BU38+BU39)*0.8%)</f>
        <v>0</v>
      </c>
      <c r="BV41" s="1730">
        <f t="shared" ref="BV41" si="108">BV27+SUM(BV37:BV40)+IF(BV18="Ja",(BV27+BV37+BV38+BV39)*0.8%)</f>
        <v>0</v>
      </c>
      <c r="BW41" s="1730">
        <f t="shared" ref="BW41" si="109">BW27+SUM(BW37:BW40)+IF(BW18="Ja",(BW27+BW37+BW38+BW39)*0.8%)</f>
        <v>0</v>
      </c>
      <c r="BX41" s="1730">
        <f t="shared" ref="BX41" si="110">BX27+SUM(BX37:BX40)+IF(BX18="Ja",(BX27+BX37+BX38+BX39)*0.8%)</f>
        <v>0</v>
      </c>
      <c r="BY41" s="1580">
        <f>BY26+((BY38+BY39)*BY22)</f>
        <v>0</v>
      </c>
      <c r="BZ41" s="1731">
        <f>BZ26+((BZ38+BZ39)*BZ22)</f>
        <v>0</v>
      </c>
      <c r="CA41" s="1730">
        <f t="shared" ref="CA41" si="111">CA27+SUM(CA37:CA40)+IF(CA18="Ja",(CA27+CA37+CA38+CA39)*0.8%)</f>
        <v>0</v>
      </c>
      <c r="CB41" s="1730">
        <f t="shared" ref="CB41" si="112">CB27+SUM(CB37:CB40)+IF(CB18="Ja",(CB27+CB37+CB38+CB39)*0.8%)</f>
        <v>0</v>
      </c>
      <c r="CC41" s="1730">
        <f t="shared" ref="CC41" si="113">CC27+SUM(CC37:CC40)+IF(CC18="Ja",(CC27+CC37+CC38+CC39)*0.8%)</f>
        <v>0</v>
      </c>
      <c r="CD41" s="1730">
        <f t="shared" ref="CD41" si="114">CD27+SUM(CD37:CD40)+IF(CD18="Ja",(CD27+CD37+CD38+CD39)*0.8%)</f>
        <v>0</v>
      </c>
      <c r="CE41" s="1730">
        <f t="shared" ref="CE41" si="115">CE27+SUM(CE37:CE40)+IF(CE18="Ja",(CE27+CE37+CE38+CE39)*0.8%)</f>
        <v>0</v>
      </c>
      <c r="CF41" s="1580">
        <f>CF26+((CF38+CF39)*CF22)</f>
        <v>0</v>
      </c>
      <c r="CG41" s="1731">
        <f>CG26+((CG38+CG39)*CG22)</f>
        <v>0</v>
      </c>
    </row>
    <row r="42" spans="1:86" ht="24" customHeight="1">
      <c r="A42" s="2882" t="s">
        <v>1110</v>
      </c>
      <c r="B42" s="2945"/>
      <c r="C42" s="2320">
        <f t="shared" ref="C42:S42" si="116">IF(C26&gt;0,ROUND(C20/100/3*(ROUND((ROUND(VLOOKUP(C7,skalalontabel,7,0)*C22*C24,0))/12,2)+ROUND(SUM(C36+C35)/12*C22*C24,2))+((C29+C28)*C20%/3),2),0)+C33*C22/12*C20%/3+IF(C18="Ja",(C26+C28+C37+C38+C39)*0.8%*C20%/3)</f>
        <v>0</v>
      </c>
      <c r="D42" s="2320">
        <f t="shared" si="116"/>
        <v>0</v>
      </c>
      <c r="E42" s="2320">
        <f t="shared" si="116"/>
        <v>0</v>
      </c>
      <c r="F42" s="2320">
        <f t="shared" si="116"/>
        <v>0</v>
      </c>
      <c r="G42" s="2320">
        <f t="shared" si="116"/>
        <v>0</v>
      </c>
      <c r="H42" s="2320">
        <f t="shared" si="116"/>
        <v>0</v>
      </c>
      <c r="I42" s="2320">
        <f t="shared" si="116"/>
        <v>0</v>
      </c>
      <c r="J42" s="2320">
        <f t="shared" si="116"/>
        <v>0</v>
      </c>
      <c r="K42" s="2320">
        <f t="shared" si="116"/>
        <v>0</v>
      </c>
      <c r="L42" s="2320">
        <f t="shared" si="116"/>
        <v>0</v>
      </c>
      <c r="M42" s="2320">
        <f t="shared" si="116"/>
        <v>0</v>
      </c>
      <c r="N42" s="2320">
        <f t="shared" si="116"/>
        <v>0</v>
      </c>
      <c r="O42" s="2320">
        <f t="shared" si="116"/>
        <v>0</v>
      </c>
      <c r="P42" s="2320">
        <f t="shared" si="116"/>
        <v>0</v>
      </c>
      <c r="Q42" s="2320">
        <f t="shared" si="116"/>
        <v>0</v>
      </c>
      <c r="R42" s="2320">
        <f t="shared" si="116"/>
        <v>0</v>
      </c>
      <c r="S42" s="2320">
        <f t="shared" si="116"/>
        <v>0</v>
      </c>
      <c r="T42" s="1580">
        <f>(T26*T20%)/3</f>
        <v>0</v>
      </c>
      <c r="U42" s="1731">
        <f>(U26*U20%)/3</f>
        <v>0</v>
      </c>
      <c r="V42" s="2320">
        <f t="shared" ref="V42:AG42" si="117">IF(V26&gt;0,ROUND(V20/100/3*(ROUND((ROUND(VLOOKUP(V7,skalalontabel,7,0)*V22*V24,0))/12,2)+ROUND(SUM(V36+V35)/12*V22*V24,2))+((V29+V28)*V20%/3),2),0)+V33*V22/12*V20%/3+IF(V18="Ja",(V26+V28+V37+V38+V39)*0.8%*V20%/3)</f>
        <v>0</v>
      </c>
      <c r="W42" s="2320">
        <f t="shared" si="117"/>
        <v>0</v>
      </c>
      <c r="X42" s="2320">
        <f t="shared" si="117"/>
        <v>0</v>
      </c>
      <c r="Y42" s="2320">
        <f t="shared" si="117"/>
        <v>0</v>
      </c>
      <c r="Z42" s="2320">
        <f t="shared" si="117"/>
        <v>0</v>
      </c>
      <c r="AA42" s="2320">
        <f t="shared" si="117"/>
        <v>0</v>
      </c>
      <c r="AB42" s="2320">
        <f t="shared" si="117"/>
        <v>0</v>
      </c>
      <c r="AC42" s="2320">
        <f t="shared" si="117"/>
        <v>0</v>
      </c>
      <c r="AD42" s="2320">
        <f t="shared" si="117"/>
        <v>0</v>
      </c>
      <c r="AE42" s="2320">
        <f t="shared" si="117"/>
        <v>0</v>
      </c>
      <c r="AF42" s="2320">
        <f t="shared" si="117"/>
        <v>0</v>
      </c>
      <c r="AG42" s="2320">
        <f t="shared" si="117"/>
        <v>0</v>
      </c>
      <c r="AH42" s="1580">
        <f>(AH26*AH20%)/3</f>
        <v>0</v>
      </c>
      <c r="AI42" s="1731">
        <f>(AI26*AI20%)/3</f>
        <v>0</v>
      </c>
      <c r="AJ42" s="2320">
        <f t="shared" ref="AJ42:AS42" si="118">IF(AJ26&gt;0,ROUND(AJ20/100/3*(ROUND((ROUND(VLOOKUP(AJ7,skalalontabel,7,0)*AJ22*AJ24,0))/12,2)+ROUND(SUM(AJ36+AJ35)/12*AJ22*AJ24,2))+((AJ29+AJ28)*AJ20%/3),2),0)+AJ33*AJ22/12*AJ20%/3+IF(AJ18="Ja",(AJ26+AJ28+AJ37+AJ38+AJ39)*0.8%*AJ20%/3)</f>
        <v>0</v>
      </c>
      <c r="AK42" s="2320">
        <f t="shared" si="118"/>
        <v>0</v>
      </c>
      <c r="AL42" s="2320">
        <f t="shared" si="118"/>
        <v>0</v>
      </c>
      <c r="AM42" s="2320">
        <f t="shared" si="118"/>
        <v>0</v>
      </c>
      <c r="AN42" s="2320">
        <f t="shared" si="118"/>
        <v>0</v>
      </c>
      <c r="AO42" s="2320">
        <f t="shared" si="118"/>
        <v>0</v>
      </c>
      <c r="AP42" s="2320">
        <f t="shared" si="118"/>
        <v>0</v>
      </c>
      <c r="AQ42" s="2320">
        <f t="shared" si="118"/>
        <v>0</v>
      </c>
      <c r="AR42" s="2320">
        <f t="shared" si="118"/>
        <v>0</v>
      </c>
      <c r="AS42" s="2320">
        <f t="shared" si="118"/>
        <v>0</v>
      </c>
      <c r="AT42" s="1580">
        <f>(AT26*AT20%)/3</f>
        <v>0</v>
      </c>
      <c r="AU42" s="1731">
        <f>(AU26*AU20%)/3</f>
        <v>0</v>
      </c>
      <c r="AV42" s="2320">
        <f t="shared" ref="AV42:BE42" si="119">IF(AV26&gt;0,ROUND(AV20/100/3*(ROUND((ROUND(VLOOKUP(AV7,skalalontabel,7,0)*AV22*AV24,0))/12,2)+ROUND(SUM(AV36+AV35)/12*AV22*AV24,2))+((AV29+AV28)*AV20%/3),2),0)+AV33*AV22/12*AV20%/3+IF(AV18="Ja",(AV26+AV28+AV37+AV38+AV39)*0.8%*AV20%/3)</f>
        <v>0</v>
      </c>
      <c r="AW42" s="2320">
        <f t="shared" si="119"/>
        <v>0</v>
      </c>
      <c r="AX42" s="2320">
        <f t="shared" si="119"/>
        <v>0</v>
      </c>
      <c r="AY42" s="2320">
        <f t="shared" si="119"/>
        <v>0</v>
      </c>
      <c r="AZ42" s="2320">
        <f t="shared" si="119"/>
        <v>0</v>
      </c>
      <c r="BA42" s="2320">
        <f t="shared" si="119"/>
        <v>0</v>
      </c>
      <c r="BB42" s="2320">
        <f t="shared" si="119"/>
        <v>0</v>
      </c>
      <c r="BC42" s="2320">
        <f t="shared" si="119"/>
        <v>0</v>
      </c>
      <c r="BD42" s="2320">
        <f t="shared" si="119"/>
        <v>0</v>
      </c>
      <c r="BE42" s="2320">
        <f t="shared" si="119"/>
        <v>0</v>
      </c>
      <c r="BF42" s="1580">
        <f>(BF26*BF20%)/3</f>
        <v>0</v>
      </c>
      <c r="BG42" s="1731">
        <f>(BG26*BG20%)/3</f>
        <v>0</v>
      </c>
      <c r="BH42" s="2320">
        <f>IF(BH26&gt;0,ROUND(BH20/100/3*(ROUND((ROUND(VLOOKUP(BH7,skalalontabel,7,0)*BH22*BH24,0))/12,2)+ROUND(SUM(BH36+BH35)/12*BH22*BH24,2))+((BH29+BH28)*BH20%/3),2),0)+BH33*BH22/12*BH20%/3+IF(BH18="Ja",(BH26+BH28+BH37+BH38+BH39)*0.8%*BH20%/3)</f>
        <v>0</v>
      </c>
      <c r="BI42" s="2320">
        <f>IF(BI26&gt;0,ROUND(BI20/100/3*(ROUND((ROUND(VLOOKUP(BI7,skalalontabel,7,0)*BI22*BI24,0))/12,2)+ROUND(SUM(BI36+BI35)/12*BI22*BI24,2))+((BI29+BI28)*BI20%/3),2),0)+BI33*BI22/12*BI20%/3+IF(BI18="Ja",(BI26+BI28+BI37+BI38+BI39)*0.8%*BI20%/3)</f>
        <v>0</v>
      </c>
      <c r="BJ42" s="2320">
        <f>IF(BJ26&gt;0,ROUND(BJ20/100/3*(ROUND((ROUND(VLOOKUP(BJ7,skalalontabel,7,0)*BJ22*BJ24,0))/12,2)+ROUND(SUM(BJ36+BJ35)/12*BJ22*BJ24,2))+((BJ29+BJ28)*BJ20%/3),2),0)+BJ33*BJ22/12*BJ20%/3+IF(BJ18="Ja",(BJ26+BJ28+BJ37+BJ38+BJ39)*0.8%*BJ20%/3)</f>
        <v>0</v>
      </c>
      <c r="BK42" s="2320">
        <f>IF(BK26&gt;0,ROUND(BK20/100/3*(ROUND((ROUND(VLOOKUP(BK7,skalalontabel,7,0)*BK22*BK24,0))/12,2)+ROUND(SUM(BK36+BK35)/12*BK22*BK24,2))+((BK29+BK28)*BK20%/3),2),0)+BK33*BK22/12*BK20%/3+IF(BK18="Ja",(BK26+BK28+BK37+BK38+BK39)*0.8%*BK20%/3)</f>
        <v>0</v>
      </c>
      <c r="BL42" s="1580">
        <f>(BL26*BL20%)/3</f>
        <v>0</v>
      </c>
      <c r="BM42" s="1731">
        <f>(BM26*BM20%)/3</f>
        <v>0</v>
      </c>
      <c r="BN42" s="2320">
        <f>IF(BN26&gt;0,ROUND(BN20/100/3*(ROUND((ROUND(VLOOKUP(BN7,skalalontabel,7,0)*BN22*BN24,0))/12,2)+ROUND(SUM(BN36+BN35)/12*BN22*BN24,2))+((BN29)*BN20%/3),2),0)+BN33*BN22/12*BN20%/3+IF(BN18="Ja",(BN26+BN37+BN38+BN39)*0.8%*BN20%/3)</f>
        <v>0</v>
      </c>
      <c r="BO42" s="2320">
        <f>IF(BO26&gt;0,ROUND(BO20/100/3*(ROUND((ROUND(VLOOKUP(BO7,skalalontabel,7,0)*BO22*BO24,0))/12,2)+ROUND(SUM(BO36+BO35)/12*BO22*BO24,2))+((BO29)*BO20%/3),2),0)+BO33*BO22/12*BO20%/3+IF(BO18="Ja",(BO26+BO37+BO38+BO39)*0.8%*BO20%/3)</f>
        <v>0</v>
      </c>
      <c r="BP42" s="2320">
        <f>IF(BP26&gt;0,ROUND(BP20/100/3*(ROUND((ROUND(VLOOKUP(BP7,skalalontabel,7,0)*BP22*BP24,0))/12,2)+ROUND(SUM(BP36+BP35)/12*BP22*BP24,2))+((BP29)*BP20%/3),2),0)+BP33*BP22/12*BP20%/3+IF(BP18="Ja",(BP26+BP37+BP38+BP39)*0.8%*BP20%/3)</f>
        <v>0</v>
      </c>
      <c r="BQ42" s="2320">
        <f>IF(BQ26&gt;0,ROUND(BQ20/100/3*(ROUND((ROUND(VLOOKUP(BQ7,skalalontabel,7,0)*BQ22*BQ24,0))/12,2)+ROUND(SUM(BQ36+BQ35)/12*BQ22*BQ24,2))+((BQ29)*BQ20%/3),2),0)+BQ33*BQ22/12*BQ20%/3+IF(BQ18="Ja",(BQ26+BQ37+BQ38+BQ39)*0.8%*BQ20%/3)</f>
        <v>0</v>
      </c>
      <c r="BR42" s="2320">
        <f>IF(BR26&gt;0,ROUND(BR20/100/3*(ROUND((ROUND(VLOOKUP(BR7,skalalontabel,7,0)*BR22*BR24,0))/12,2)+ROUND(SUM(BR36+BR35)/12*BR22*BR24,2))+((BR29)*BR20%/3),2),0)+BR33*BR22/12*BR20%/3+IF(BR18="Ja",(BR26+BR37+BR38+BR39)*0.8%*BR20%/3)</f>
        <v>0</v>
      </c>
      <c r="BS42" s="2320">
        <f>IF(BS26&gt;0,ROUND(BS20/100/3*(ROUND((ROUND(VLOOKUP(BS7,skalalontabel,7,0)*BS22*BS24,0))/12,2)+ROUND(SUM(BS36+BS35)/12*BS22*BS24,2))+((BS29)*BS20%/3),2),0)+BS33*BS22/12*BS20%/3+IF(BS18="Ja",(BS26+BS37+BS38+BS39)*0.8%*BS20%/3)</f>
        <v>0</v>
      </c>
      <c r="BT42" s="2320">
        <f>IF(BT26&gt;0,ROUND(BT20/100/3*(ROUND((ROUND(VLOOKUP(BT7,skalalontabel,7,0)*BT22*BT24,0))/12,2)+ROUND(SUM(BT36+BT35)/12*BT22*BT24,2))+((BT29)*BT20%/3),2),0)+BT33*BT22/12*BT20%/3+IF(BT18="Ja",(BT26+BT37+BT38+BT39)*0.8%*BT20%/3)</f>
        <v>0</v>
      </c>
      <c r="BU42" s="2320">
        <f>IF(BU26&gt;0,ROUND(BU20/100/3*(ROUND((ROUND(VLOOKUP(BU7,skalalontabel,7,0)*BU22*BU24,0))/12,2)+ROUND(SUM(BU36+BU35)/12*BU22*BU24,2))+((BU29)*BU20%/3),2),0)+BU33*BU22/12*BU20%/3+IF(BU18="Ja",(BU26+BU37+BU38+BU39)*0.8%*BU20%/3)</f>
        <v>0</v>
      </c>
      <c r="BV42" s="2320">
        <f>IF(BV26&gt;0,ROUND(BV20/100/3*(ROUND((ROUND(VLOOKUP(BV7,skalalontabel,7,0)*BV22*BV24,0))/12,2)+ROUND(SUM(BV36+BV35)/12*BV22*BV24,2))+((BV29)*BV20%/3),2),0)+BV33*BV22/12*BV20%/3+IF(BV18="Ja",(BV26+BV37+BV38+BV39)*0.8%*BV20%/3)</f>
        <v>0</v>
      </c>
      <c r="BW42" s="2320">
        <f>IF(BW26&gt;0,ROUND(BW20/100/3*(ROUND((ROUND(VLOOKUP(BW7,skalalontabel,7,0)*BW22*BW24,0))/12,2)+ROUND(SUM(BW36+BW35)/12*BW22*BW24,2))+((BW29)*BW20%/3),2),0)+BW33*BW22/12*BW20%/3+IF(BW18="Ja",(BW26+BW37+BW38+BW39)*0.8%*BW20%/3)</f>
        <v>0</v>
      </c>
      <c r="BX42" s="2320">
        <f>IF(BX26&gt;0,ROUND(BX20/100/3*(ROUND((ROUND(VLOOKUP(BX7,skalalontabel,7,0)*BX22*BX24,0))/12,2)+ROUND(SUM(BX36+BX35)/12*BX22*BX24,2))+((BX29)*BX20%/3),2),0)+BX33*BX22/12*BX20%/3+IF(BX18="Ja",(BX26+BX37+BX38+BX39)*0.8%*BX20%/3)</f>
        <v>0</v>
      </c>
      <c r="BY42" s="1580">
        <f>(BY26*BY20%)/3</f>
        <v>0</v>
      </c>
      <c r="BZ42" s="1731">
        <f>(BZ26*BZ20%)/3</f>
        <v>0</v>
      </c>
      <c r="CA42" s="2320">
        <f>IF(CA26&gt;0,ROUND(CA20/100/3*(ROUND((ROUND(VLOOKUP(CA7,skalalontabel,7,0)*CA22*CA24,0))/12,2)+ROUND(SUM(CA36+CA35)/12*CA22*CA24,2))+((CA29)*CA20%/3),2),0)+CA33*CA22/12*CA20%/3+IF(CA18="Ja",(CA26+CA37+CA38+CA39)*0.8%*CA20%/3)</f>
        <v>0</v>
      </c>
      <c r="CB42" s="2320">
        <f>IF(CB26&gt;0,ROUND(CB20/100/3*(ROUND((ROUND(VLOOKUP(CB7,skalalontabel,7,0)*CB22*CB24,0))/12,2)+ROUND(SUM(CB36+CB35)/12*CB22*CB24,2))+((CB29)*CB20%/3),2),0)+CB33*CB22/12*CB20%/3+IF(CB18="Ja",(CB26+CB37+CB38+CB39)*0.8%*CB20%/3)</f>
        <v>0</v>
      </c>
      <c r="CC42" s="2320">
        <f>IF(CC26&gt;0,ROUND(CC20/100/3*(ROUND((ROUND(VLOOKUP(CC7,skalalontabel,7,0)*CC22*CC24,0))/12,2)+ROUND(SUM(CC36+CC35)/12*CC22*CC24,2))+((CC29)*CC20%/3),2),0)+CC33*CC22/12*CC20%/3+IF(CC18="Ja",(CC26+CC37+CC38+CC39)*0.8%*CC20%/3)</f>
        <v>0</v>
      </c>
      <c r="CD42" s="2320">
        <f>IF(CD26&gt;0,ROUND(CD20/100/3*(ROUND((ROUND(VLOOKUP(CD7,skalalontabel,7,0)*CD22*CD24,0))/12,2)+ROUND(SUM(CD36+CD35)/12*CD22*CD24,2))+((CD29)*CD20%/3),2),0)+CD33*CD22/12*CD20%/3+IF(CD18="Ja",(CD26+CD37+CD38+CD39)*0.8%*CD20%/3)</f>
        <v>0</v>
      </c>
      <c r="CE42" s="3268">
        <f>IF(CE26&gt;0,ROUND(CE20/100/3*(ROUND((ROUND(VLOOKUP(CE7,skalalontabel,7,0)*CE22*CE24,0))/12,2)+ROUND(SUM(CE36+CE35)/12*CE22*CE24,2))+((CE29)*CE20%/3),2),0)+CE33*CE22/12*CE20%/3+IF(CE18="Ja",(CE26+CE37+CE38+CE39)*0.8%*CE20%/3)</f>
        <v>0</v>
      </c>
      <c r="CF42" s="1580">
        <f>(CF26*CF20%)/3</f>
        <v>0</v>
      </c>
      <c r="CG42" s="1731">
        <f>(CG26*CG20%)/3</f>
        <v>0</v>
      </c>
      <c r="CH42" s="98" t="s">
        <v>340</v>
      </c>
    </row>
    <row r="43" spans="1:86" ht="24" customHeight="1">
      <c r="A43" s="2882" t="s">
        <v>1352</v>
      </c>
      <c r="B43" s="2945"/>
      <c r="C43" s="2320">
        <f t="shared" ref="C43:S43" si="120">IF(C26&gt;0,ROUND(C20/100/3*(ROUND((ROUND(VLOOKUP(C7,skalalontabel,7,0)*C22*C25,0))/12,2)+ROUND(SUM(C36+C35)/12*C22*C25,2))+(C33*C22/12*C25*C20%/3)+((C29+C28)/C24*C25*C20%/3),2)+IF(C25&gt;0,-C42),0)</f>
        <v>0</v>
      </c>
      <c r="D43" s="2322">
        <f t="shared" si="120"/>
        <v>0</v>
      </c>
      <c r="E43" s="2321">
        <f t="shared" si="120"/>
        <v>0</v>
      </c>
      <c r="F43" s="2320">
        <f t="shared" si="120"/>
        <v>0</v>
      </c>
      <c r="G43" s="2320">
        <f t="shared" si="120"/>
        <v>0</v>
      </c>
      <c r="H43" s="2320">
        <f t="shared" si="120"/>
        <v>0</v>
      </c>
      <c r="I43" s="2320">
        <f t="shared" si="120"/>
        <v>0</v>
      </c>
      <c r="J43" s="2320">
        <f t="shared" si="120"/>
        <v>0</v>
      </c>
      <c r="K43" s="2320">
        <f t="shared" si="120"/>
        <v>0</v>
      </c>
      <c r="L43" s="2320">
        <f t="shared" si="120"/>
        <v>0</v>
      </c>
      <c r="M43" s="2320">
        <f t="shared" si="120"/>
        <v>0</v>
      </c>
      <c r="N43" s="2320">
        <f t="shared" si="120"/>
        <v>0</v>
      </c>
      <c r="O43" s="2320">
        <f t="shared" si="120"/>
        <v>0</v>
      </c>
      <c r="P43" s="2320">
        <f t="shared" si="120"/>
        <v>0</v>
      </c>
      <c r="Q43" s="2320">
        <f t="shared" si="120"/>
        <v>0</v>
      </c>
      <c r="R43" s="2320">
        <f t="shared" si="120"/>
        <v>0</v>
      </c>
      <c r="S43" s="2322">
        <f t="shared" si="120"/>
        <v>0</v>
      </c>
      <c r="T43" s="1580">
        <v>0</v>
      </c>
      <c r="U43" s="1731">
        <v>0</v>
      </c>
      <c r="V43" s="2321">
        <f t="shared" ref="V43:AG43" si="121">IF(V26&gt;0,ROUND(V20/100/3*(ROUND((ROUND(VLOOKUP(V7,skalalontabel,7,0)*V22*V25,0))/12,2)+ROUND(SUM(V36+V35)/12*V22*V25,2))+(V33*V22/12*V25*V20%/3)+((V29+V28)/V24*V25*V20%/3),2)+IF(V25&gt;0,-V42),0)</f>
        <v>0</v>
      </c>
      <c r="W43" s="2322">
        <f t="shared" si="121"/>
        <v>0</v>
      </c>
      <c r="X43" s="2321">
        <f t="shared" si="121"/>
        <v>0</v>
      </c>
      <c r="Y43" s="2320">
        <f t="shared" si="121"/>
        <v>0</v>
      </c>
      <c r="Z43" s="2320">
        <f t="shared" si="121"/>
        <v>0</v>
      </c>
      <c r="AA43" s="2320">
        <f t="shared" si="121"/>
        <v>0</v>
      </c>
      <c r="AB43" s="2320">
        <f t="shared" si="121"/>
        <v>0</v>
      </c>
      <c r="AC43" s="2320">
        <f t="shared" si="121"/>
        <v>0</v>
      </c>
      <c r="AD43" s="2320">
        <f t="shared" si="121"/>
        <v>0</v>
      </c>
      <c r="AE43" s="2320">
        <f t="shared" si="121"/>
        <v>0</v>
      </c>
      <c r="AF43" s="2320">
        <f t="shared" si="121"/>
        <v>0</v>
      </c>
      <c r="AG43" s="2322">
        <f t="shared" si="121"/>
        <v>0</v>
      </c>
      <c r="AH43" s="1580">
        <v>0</v>
      </c>
      <c r="AI43" s="1731">
        <v>0</v>
      </c>
      <c r="AJ43" s="2321">
        <f t="shared" ref="AJ43:AS43" si="122">IF(AJ26&gt;0,ROUND(AJ20/100/3*(ROUND((ROUND(VLOOKUP(AJ7,skalalontabel,7,0)*AJ22*AJ25,0))/12,2)+ROUND(SUM(AJ36+AJ35)/12*AJ22*AJ25,2))+(AJ33*AJ22/12*AJ25*AJ20%/3)+((AJ29+AJ28)/AJ24*AJ25*AJ20%/3),2)+IF(AJ25&gt;0,-AJ42),0)</f>
        <v>0</v>
      </c>
      <c r="AK43" s="2320">
        <f t="shared" si="122"/>
        <v>0</v>
      </c>
      <c r="AL43" s="2320">
        <f t="shared" si="122"/>
        <v>0</v>
      </c>
      <c r="AM43" s="2320">
        <f t="shared" si="122"/>
        <v>0</v>
      </c>
      <c r="AN43" s="2320">
        <f t="shared" si="122"/>
        <v>0</v>
      </c>
      <c r="AO43" s="2320">
        <f t="shared" si="122"/>
        <v>0</v>
      </c>
      <c r="AP43" s="2320">
        <f t="shared" si="122"/>
        <v>0</v>
      </c>
      <c r="AQ43" s="2320">
        <f t="shared" si="122"/>
        <v>0</v>
      </c>
      <c r="AR43" s="2320">
        <f t="shared" si="122"/>
        <v>0</v>
      </c>
      <c r="AS43" s="2322">
        <f t="shared" si="122"/>
        <v>0</v>
      </c>
      <c r="AT43" s="1580">
        <v>0</v>
      </c>
      <c r="AU43" s="1731">
        <v>0</v>
      </c>
      <c r="AV43" s="2321">
        <f t="shared" ref="AV43:BE43" si="123">IF(AV26&gt;0,ROUND(AV20/100/3*(ROUND((ROUND(VLOOKUP(AV7,skalalontabel,7,0)*AV22*AV25,0))/12,2)+ROUND(SUM(AV36+AV35)/12*AV22*AV25,2))+(AV33*AV22/12*AV25*AV20%/3)+((AV29+AV28)/AV24*AV25*AV20%/3),2)+IF(AV25&gt;0,-AV42),0)</f>
        <v>0</v>
      </c>
      <c r="AW43" s="2320">
        <f t="shared" si="123"/>
        <v>0</v>
      </c>
      <c r="AX43" s="2320">
        <f t="shared" si="123"/>
        <v>0</v>
      </c>
      <c r="AY43" s="2320">
        <f t="shared" si="123"/>
        <v>0</v>
      </c>
      <c r="AZ43" s="2320">
        <f t="shared" si="123"/>
        <v>0</v>
      </c>
      <c r="BA43" s="2320">
        <f t="shared" si="123"/>
        <v>0</v>
      </c>
      <c r="BB43" s="2320">
        <f t="shared" si="123"/>
        <v>0</v>
      </c>
      <c r="BC43" s="2320">
        <f t="shared" si="123"/>
        <v>0</v>
      </c>
      <c r="BD43" s="2320">
        <f t="shared" si="123"/>
        <v>0</v>
      </c>
      <c r="BE43" s="2322">
        <f t="shared" si="123"/>
        <v>0</v>
      </c>
      <c r="BF43" s="1580">
        <v>0</v>
      </c>
      <c r="BG43" s="1731">
        <v>0</v>
      </c>
      <c r="BH43" s="2321">
        <f>IF(BH26&gt;0,ROUND(BH20/100/3*(ROUND((ROUND(VLOOKUP(BH7,skalalontabel,7,0)*BH22*BH25,0))/12,2)+ROUND(SUM(BH36+BH35)/12*BH22*BH25,2))+(BH33*BH22/12*BH25*BH20%/3)+((BH29+BH28)/BH24*BH25*BH20%/3),2)+IF(BH25&gt;0,-BH42),0)</f>
        <v>0</v>
      </c>
      <c r="BI43" s="2320">
        <f>IF(BI26&gt;0,ROUND(BI20/100/3*(ROUND((ROUND(VLOOKUP(BI7,skalalontabel,7,0)*BI22*BI25,0))/12,2)+ROUND(SUM(BI36+BI35)/12*BI22*BI25,2))+(BI33*BI22/12*BI25*BI20%/3)+((BI29+BI28)/BI24*BI25*BI20%/3),2)+IF(BI25&gt;0,-BI42),0)</f>
        <v>0</v>
      </c>
      <c r="BJ43" s="2320">
        <f>IF(BJ26&gt;0,ROUND(BJ20/100/3*(ROUND((ROUND(VLOOKUP(BJ7,skalalontabel,7,0)*BJ22*BJ25,0))/12,2)+ROUND(SUM(BJ36+BJ35)/12*BJ22*BJ25,2))+(BJ33*BJ22/12*BJ25*BJ20%/3)+((BJ29+BJ28)/BJ24*BJ25*BJ20%/3),2)+IF(BJ25&gt;0,-BJ42),0)</f>
        <v>0</v>
      </c>
      <c r="BK43" s="2322">
        <f>IF(BK26&gt;0,ROUND(BK20/100/3*(ROUND((ROUND(VLOOKUP(BK7,skalalontabel,7,0)*BK22*BK25,0))/12,2)+ROUND(SUM(BK36+BK35)/12*BK22*BK25,2))+(BK33*BK22/12*BK25*BK20%/3)+((BK29+BK28)/BK24*BK25*BK20%/3),2)+IF(BK25&gt;0,-BK42),0)</f>
        <v>0</v>
      </c>
      <c r="BL43" s="1580">
        <v>0</v>
      </c>
      <c r="BM43" s="1731">
        <v>0</v>
      </c>
      <c r="BN43" s="2321">
        <f t="shared" ref="BN43:BX43" si="124">IF(BN26&gt;0,ROUND(BN20/100/3*(ROUND((ROUND(VLOOKUP(BN7,skalalontabel,7,0)*BN22*BN25,0))/12,2)+ROUND(SUM(BN36+BN35)/12*BN22*BN25,2))+(BN33*BN22/12*BN25*BN20%/3)+((BN29+BN28)/BN24*BN25*BN20%/3),2)+IF(BN25&gt;0,-BN42),0)</f>
        <v>0</v>
      </c>
      <c r="BO43" s="2320">
        <f t="shared" si="124"/>
        <v>0</v>
      </c>
      <c r="BP43" s="2320">
        <f t="shared" si="124"/>
        <v>0</v>
      </c>
      <c r="BQ43" s="2320">
        <f t="shared" si="124"/>
        <v>0</v>
      </c>
      <c r="BR43" s="2320">
        <f t="shared" si="124"/>
        <v>0</v>
      </c>
      <c r="BS43" s="2320">
        <f t="shared" si="124"/>
        <v>0</v>
      </c>
      <c r="BT43" s="2320">
        <f t="shared" si="124"/>
        <v>0</v>
      </c>
      <c r="BU43" s="2320">
        <f t="shared" si="124"/>
        <v>0</v>
      </c>
      <c r="BV43" s="2320">
        <f t="shared" si="124"/>
        <v>0</v>
      </c>
      <c r="BW43" s="2320">
        <f t="shared" si="124"/>
        <v>0</v>
      </c>
      <c r="BX43" s="2322">
        <f t="shared" si="124"/>
        <v>0</v>
      </c>
      <c r="BY43" s="1580">
        <v>0</v>
      </c>
      <c r="BZ43" s="1731">
        <v>0</v>
      </c>
      <c r="CA43" s="2321">
        <f>IF(CA26&gt;0,ROUND(CA20/100/3*(ROUND((ROUND(VLOOKUP(CA7,skalalontabel,7,0)*CA22*CA25,0))/12,2)+ROUND(SUM(CA36+CA35)/12*CA22*CA25,2))+(CA33*CA22/12*CA25*CA20%/3)+((CA29+CA28)/CA24*CA25*CA20%/3),2)+IF(CA25&gt;0,-CA42),0)</f>
        <v>0</v>
      </c>
      <c r="CB43" s="2320">
        <f>IF(CB26&gt;0,ROUND(CB20/100/3*(ROUND((ROUND(VLOOKUP(CB7,skalalontabel,7,0)*CB22*CB25,0))/12,2)+ROUND(SUM(CB36+CB35)/12*CB22*CB25,2))+(CB33*CB22/12*CB25*CB20%/3)+((CB29+CB28)/CB24*CB25*CB20%/3),2)+IF(CB25&gt;0,-CB42),0)</f>
        <v>0</v>
      </c>
      <c r="CC43" s="2320">
        <f>IF(CC26&gt;0,ROUND(CC20/100/3*(ROUND((ROUND(VLOOKUP(CC7,skalalontabel,7,0)*CC22*CC25,0))/12,2)+ROUND(SUM(CC36+CC35)/12*CC22*CC25,2))+(CC33*CC22/12*CC25*CC20%/3)+((CC29+CC28)/CC24*CC25*CC20%/3),2)+IF(CC25&gt;0,-CC42),0)</f>
        <v>0</v>
      </c>
      <c r="CD43" s="2320">
        <f>IF(CD26&gt;0,ROUND(CD20/100/3*(ROUND((ROUND(VLOOKUP(CD7,skalalontabel,7,0)*CD22*CD25,0))/12,2)+ROUND(SUM(CD36+CD35)/12*CD22*CD25,2))+(CD33*CD22/12*CD25*CD20%/3)+((CD29+CD28)/CD24*CD25*CD20%/3),2)+IF(CD25&gt;0,-CD42),0)</f>
        <v>0</v>
      </c>
      <c r="CE43" s="2322">
        <f>IF(CE26&gt;0,ROUND(CE20/100/3*(ROUND((ROUND(VLOOKUP(CE7,skalalontabel,7,0)*CE22*CE25,0))/12,2)+ROUND(SUM(CE36+CE35)/12*CE22*CE25,2))+(CE33*CE22/12*CE25*CE20%/3)+((CE29+CE28)/CE24*CE25*CE20%/3),2)+IF(CE25&gt;0,-CE42),0)</f>
        <v>0</v>
      </c>
      <c r="CF43" s="1580">
        <v>0</v>
      </c>
      <c r="CG43" s="1731">
        <v>0</v>
      </c>
    </row>
    <row r="44" spans="1:86" ht="24" customHeight="1">
      <c r="A44" s="2882" t="s">
        <v>1137</v>
      </c>
      <c r="B44" s="2945"/>
      <c r="C44" s="2320">
        <f t="shared" ref="C44" si="125">IF(C21="JA",C41+C42+C43,C41)</f>
        <v>0</v>
      </c>
      <c r="D44" s="2318">
        <f t="shared" ref="D44" si="126">IF(D21="JA",D41+D42+D43,D41)</f>
        <v>0</v>
      </c>
      <c r="E44" s="2321">
        <f t="shared" ref="E44" si="127">IF(E21="JA",E41+E42+E43,E41)</f>
        <v>0</v>
      </c>
      <c r="F44" s="2320">
        <f>IF(F21="JA",F41+F42+F43,F41)</f>
        <v>0</v>
      </c>
      <c r="G44" s="2320">
        <f t="shared" ref="G44" si="128">IF(G21="JA",G41+G42+G43,G41)</f>
        <v>0</v>
      </c>
      <c r="H44" s="2320">
        <f t="shared" ref="H44" si="129">IF(H21="JA",H41+H42+H43,H41)</f>
        <v>0</v>
      </c>
      <c r="I44" s="2320">
        <f t="shared" ref="I44" si="130">IF(I21="JA",I41+I42+I43,I41)</f>
        <v>0</v>
      </c>
      <c r="J44" s="2320">
        <f t="shared" ref="J44" si="131">IF(J21="JA",J41+J42+J43,J41)</f>
        <v>0</v>
      </c>
      <c r="K44" s="2320">
        <f t="shared" ref="K44" si="132">IF(K21="JA",K41+K42+K43,K41)</f>
        <v>0</v>
      </c>
      <c r="L44" s="2320">
        <f t="shared" ref="L44" si="133">IF(L21="JA",L41+L42+L43,L41)</f>
        <v>0</v>
      </c>
      <c r="M44" s="2320">
        <f t="shared" ref="M44" si="134">IF(M21="JA",M41+M42+M43,M41)</f>
        <v>0</v>
      </c>
      <c r="N44" s="2320">
        <f t="shared" ref="N44" si="135">IF(N21="JA",N41+N42+N43,N41)</f>
        <v>0</v>
      </c>
      <c r="O44" s="2320">
        <f t="shared" ref="O44" si="136">IF(O21="JA",O41+O42+O43,O41)</f>
        <v>0</v>
      </c>
      <c r="P44" s="2320">
        <f t="shared" ref="P44" si="137">IF(P21="JA",P41+P42+P43,P41)</f>
        <v>0</v>
      </c>
      <c r="Q44" s="2320">
        <f t="shared" ref="Q44" si="138">IF(Q21="JA",Q41+Q42+Q43,Q41)</f>
        <v>0</v>
      </c>
      <c r="R44" s="2320">
        <f t="shared" ref="R44" si="139">IF(R21="JA",R41+R42+R43,R41)</f>
        <v>0</v>
      </c>
      <c r="S44" s="2322">
        <f t="shared" ref="S44" si="140">IF(S21="JA",S41+S42+S43,S41)</f>
        <v>0</v>
      </c>
      <c r="T44" s="2321">
        <f>IF(T21="JA",T41+T42+T43,0)</f>
        <v>0</v>
      </c>
      <c r="U44" s="2318">
        <f>IF(U21="JA",U41+U42+U43,0)</f>
        <v>0</v>
      </c>
      <c r="V44" s="2321">
        <f t="shared" ref="V44" si="141">IF(V21="JA",V41+V42+V43,V41)</f>
        <v>0</v>
      </c>
      <c r="W44" s="2318">
        <f t="shared" ref="W44" si="142">IF(W21="JA",W41+W42+W43,W41)</f>
        <v>0</v>
      </c>
      <c r="X44" s="2321">
        <f t="shared" ref="X44:AF44" si="143">IF(X21="JA",X41+X42+X43,X41)</f>
        <v>0</v>
      </c>
      <c r="Y44" s="2320">
        <f t="shared" si="143"/>
        <v>0</v>
      </c>
      <c r="Z44" s="2320">
        <f t="shared" si="143"/>
        <v>0</v>
      </c>
      <c r="AA44" s="2320">
        <f t="shared" si="143"/>
        <v>0</v>
      </c>
      <c r="AB44" s="2320">
        <f t="shared" si="143"/>
        <v>0</v>
      </c>
      <c r="AC44" s="2320">
        <f t="shared" si="143"/>
        <v>0</v>
      </c>
      <c r="AD44" s="2320">
        <f t="shared" si="143"/>
        <v>0</v>
      </c>
      <c r="AE44" s="2320">
        <f t="shared" si="143"/>
        <v>0</v>
      </c>
      <c r="AF44" s="2320">
        <f t="shared" si="143"/>
        <v>0</v>
      </c>
      <c r="AG44" s="2322">
        <f>IF(AG21="JA",AG41+AG42+AG43,AG41)</f>
        <v>0</v>
      </c>
      <c r="AH44" s="2321">
        <f>IF(AH21="JA",AH41+AH42+AH43,0)</f>
        <v>0</v>
      </c>
      <c r="AI44" s="2318">
        <f>IF(AI21="JA",AI41+AI42+AI43,0)</f>
        <v>0</v>
      </c>
      <c r="AJ44" s="2321">
        <f>IF(AJ21="JA",AJ41+AJ42+AJ43,AJ41)</f>
        <v>0</v>
      </c>
      <c r="AK44" s="2320">
        <f t="shared" ref="AK44" si="144">IF(AK21="JA",AK41+AK42+AK43,AK41)</f>
        <v>0</v>
      </c>
      <c r="AL44" s="2320">
        <f t="shared" ref="AL44" si="145">IF(AL21="JA",AL41+AL42+AL43,AL41)</f>
        <v>0</v>
      </c>
      <c r="AM44" s="2320">
        <f t="shared" ref="AM44" si="146">IF(AM21="JA",AM41+AM42+AM43,AM41)</f>
        <v>0</v>
      </c>
      <c r="AN44" s="2320">
        <f t="shared" ref="AN44" si="147">IF(AN21="JA",AN41+AN42+AN43,AN41)</f>
        <v>0</v>
      </c>
      <c r="AO44" s="2320">
        <f t="shared" ref="AO44" si="148">IF(AO21="JA",AO41+AO42+AO43,AO41)</f>
        <v>0</v>
      </c>
      <c r="AP44" s="2320">
        <f t="shared" ref="AP44" si="149">IF(AP21="JA",AP41+AP42+AP43,AP41)</f>
        <v>0</v>
      </c>
      <c r="AQ44" s="2320">
        <f t="shared" ref="AQ44" si="150">IF(AQ21="JA",AQ41+AQ42+AQ43,AQ41)</f>
        <v>0</v>
      </c>
      <c r="AR44" s="2320">
        <f t="shared" ref="AR44" si="151">IF(AR21="JA",AR41+AR42+AR43,AR41)</f>
        <v>0</v>
      </c>
      <c r="AS44" s="2322">
        <f t="shared" ref="AS44" si="152">IF(AS21="JA",AS41+AS42+AS43,AS41)</f>
        <v>0</v>
      </c>
      <c r="AT44" s="2321">
        <f>IF(AT21="JA",AT41+AT42+AT43,0)</f>
        <v>0</v>
      </c>
      <c r="AU44" s="2318">
        <f>IF(AU21="JA",AU41+AU42+AU43,0)</f>
        <v>0</v>
      </c>
      <c r="AV44" s="2321">
        <f t="shared" ref="AV44:BD44" si="153">IF(AV21="JA",AV41+AV42+AV43,AV41)</f>
        <v>0</v>
      </c>
      <c r="AW44" s="2320">
        <f t="shared" si="153"/>
        <v>0</v>
      </c>
      <c r="AX44" s="2320">
        <f t="shared" si="153"/>
        <v>0</v>
      </c>
      <c r="AY44" s="2320">
        <f t="shared" si="153"/>
        <v>0</v>
      </c>
      <c r="AZ44" s="2320">
        <f t="shared" si="153"/>
        <v>0</v>
      </c>
      <c r="BA44" s="2320">
        <f t="shared" si="153"/>
        <v>0</v>
      </c>
      <c r="BB44" s="2320">
        <f t="shared" si="153"/>
        <v>0</v>
      </c>
      <c r="BC44" s="2320">
        <f t="shared" si="153"/>
        <v>0</v>
      </c>
      <c r="BD44" s="2320">
        <f t="shared" si="153"/>
        <v>0</v>
      </c>
      <c r="BE44" s="2322">
        <f>IF(BE21="JA",BE41+BE42+BE43,BE41)</f>
        <v>0</v>
      </c>
      <c r="BF44" s="2321">
        <f>IF(BF21="JA",BF41+BF42+BF43,0)</f>
        <v>0</v>
      </c>
      <c r="BG44" s="2318">
        <f>IF(BG21="JA",BG41+BG42+BG43,0)</f>
        <v>0</v>
      </c>
      <c r="BH44" s="2321">
        <f>IF(BH21="JA",BH41+BH42+BH43,BH41)</f>
        <v>0</v>
      </c>
      <c r="BI44" s="2320">
        <f t="shared" ref="BI44:BK44" si="154">IF(BI21="JA",BI41+BI42+BI43,BI41)</f>
        <v>0</v>
      </c>
      <c r="BJ44" s="2320">
        <f t="shared" si="154"/>
        <v>0</v>
      </c>
      <c r="BK44" s="2322">
        <f t="shared" si="154"/>
        <v>0</v>
      </c>
      <c r="BL44" s="2321">
        <f>IF(BL21="JA",BL41+BL42+BL43,0)</f>
        <v>0</v>
      </c>
      <c r="BM44" s="2318">
        <f>IF(BM21="JA",BM41+BM42+BM43,0)</f>
        <v>0</v>
      </c>
      <c r="BN44" s="2321">
        <f>IF(BN21="JA",BN41+BN42+BN43,BN41)</f>
        <v>0</v>
      </c>
      <c r="BO44" s="2320">
        <f t="shared" ref="BO44:BX44" si="155">IF(BO21="JA",BO41+BO42+BO43,BO41)</f>
        <v>0</v>
      </c>
      <c r="BP44" s="2320">
        <f t="shared" si="155"/>
        <v>0</v>
      </c>
      <c r="BQ44" s="2320">
        <f t="shared" si="155"/>
        <v>0</v>
      </c>
      <c r="BR44" s="2320">
        <f t="shared" si="155"/>
        <v>0</v>
      </c>
      <c r="BS44" s="2320">
        <f t="shared" si="155"/>
        <v>0</v>
      </c>
      <c r="BT44" s="2320">
        <f t="shared" si="155"/>
        <v>0</v>
      </c>
      <c r="BU44" s="2320">
        <f t="shared" si="155"/>
        <v>0</v>
      </c>
      <c r="BV44" s="2320">
        <f t="shared" si="155"/>
        <v>0</v>
      </c>
      <c r="BW44" s="2320">
        <f t="shared" si="155"/>
        <v>0</v>
      </c>
      <c r="BX44" s="2322">
        <f t="shared" si="155"/>
        <v>0</v>
      </c>
      <c r="BY44" s="2321">
        <f>IF(BY21="JA",BY41+BY42+BY43,0)</f>
        <v>0</v>
      </c>
      <c r="BZ44" s="2318">
        <f>IF(BZ21="JA",BZ41+BZ42+BZ43,0)</f>
        <v>0</v>
      </c>
      <c r="CA44" s="2321">
        <f>IF(CA21="JA",CA41+CA42+CA43,CA41)</f>
        <v>0</v>
      </c>
      <c r="CB44" s="2320">
        <f t="shared" ref="CB44:CE44" si="156">IF(CB21="JA",CB41+CB42+CB43,CB41)</f>
        <v>0</v>
      </c>
      <c r="CC44" s="2320">
        <f t="shared" si="156"/>
        <v>0</v>
      </c>
      <c r="CD44" s="2320">
        <f t="shared" si="156"/>
        <v>0</v>
      </c>
      <c r="CE44" s="2322">
        <f t="shared" si="156"/>
        <v>0</v>
      </c>
      <c r="CF44" s="2321">
        <f>IF(CF21="JA",CF41+CF42+CF43,0)</f>
        <v>0</v>
      </c>
      <c r="CG44" s="2318">
        <f>IF(CG21="JA",CG41+CG42+CG43,0)</f>
        <v>0</v>
      </c>
    </row>
    <row r="45" spans="1:86" ht="24" customHeight="1">
      <c r="A45" s="2882" t="s">
        <v>1138</v>
      </c>
      <c r="B45" s="2945"/>
      <c r="C45" s="2320">
        <f>(C42+C43)*3</f>
        <v>0</v>
      </c>
      <c r="D45" s="2319">
        <f t="shared" ref="D45:BO45" si="157">(D42+D43)*3</f>
        <v>0</v>
      </c>
      <c r="E45" s="2321">
        <f t="shared" si="157"/>
        <v>0</v>
      </c>
      <c r="F45" s="2320">
        <f t="shared" si="157"/>
        <v>0</v>
      </c>
      <c r="G45" s="2320">
        <f t="shared" si="157"/>
        <v>0</v>
      </c>
      <c r="H45" s="2320">
        <f t="shared" si="157"/>
        <v>0</v>
      </c>
      <c r="I45" s="2320">
        <f t="shared" si="157"/>
        <v>0</v>
      </c>
      <c r="J45" s="2320">
        <f t="shared" si="157"/>
        <v>0</v>
      </c>
      <c r="K45" s="2320">
        <f t="shared" si="157"/>
        <v>0</v>
      </c>
      <c r="L45" s="2320">
        <f t="shared" si="157"/>
        <v>0</v>
      </c>
      <c r="M45" s="2320">
        <f t="shared" si="157"/>
        <v>0</v>
      </c>
      <c r="N45" s="2320">
        <f t="shared" si="157"/>
        <v>0</v>
      </c>
      <c r="O45" s="2320">
        <f t="shared" si="157"/>
        <v>0</v>
      </c>
      <c r="P45" s="2320">
        <f t="shared" si="157"/>
        <v>0</v>
      </c>
      <c r="Q45" s="2320">
        <f t="shared" si="157"/>
        <v>0</v>
      </c>
      <c r="R45" s="2320">
        <f t="shared" si="157"/>
        <v>0</v>
      </c>
      <c r="S45" s="2322">
        <f t="shared" si="157"/>
        <v>0</v>
      </c>
      <c r="T45" s="1580">
        <f t="shared" si="157"/>
        <v>0</v>
      </c>
      <c r="U45" s="1731">
        <f t="shared" si="157"/>
        <v>0</v>
      </c>
      <c r="V45" s="2321">
        <f t="shared" si="157"/>
        <v>0</v>
      </c>
      <c r="W45" s="2319">
        <f t="shared" si="157"/>
        <v>0</v>
      </c>
      <c r="X45" s="2321">
        <f t="shared" si="157"/>
        <v>0</v>
      </c>
      <c r="Y45" s="2320">
        <f t="shared" si="157"/>
        <v>0</v>
      </c>
      <c r="Z45" s="2320">
        <f t="shared" si="157"/>
        <v>0</v>
      </c>
      <c r="AA45" s="2320">
        <f t="shared" si="157"/>
        <v>0</v>
      </c>
      <c r="AB45" s="2320">
        <f t="shared" si="157"/>
        <v>0</v>
      </c>
      <c r="AC45" s="2320">
        <f t="shared" si="157"/>
        <v>0</v>
      </c>
      <c r="AD45" s="2320">
        <f t="shared" si="157"/>
        <v>0</v>
      </c>
      <c r="AE45" s="2320">
        <f t="shared" si="157"/>
        <v>0</v>
      </c>
      <c r="AF45" s="2320">
        <f t="shared" si="157"/>
        <v>0</v>
      </c>
      <c r="AG45" s="2322">
        <f t="shared" si="157"/>
        <v>0</v>
      </c>
      <c r="AH45" s="1580">
        <f t="shared" si="157"/>
        <v>0</v>
      </c>
      <c r="AI45" s="1731">
        <f t="shared" si="157"/>
        <v>0</v>
      </c>
      <c r="AJ45" s="2321">
        <f t="shared" si="157"/>
        <v>0</v>
      </c>
      <c r="AK45" s="2320">
        <f t="shared" si="157"/>
        <v>0</v>
      </c>
      <c r="AL45" s="2320">
        <f t="shared" si="157"/>
        <v>0</v>
      </c>
      <c r="AM45" s="2320">
        <f t="shared" si="157"/>
        <v>0</v>
      </c>
      <c r="AN45" s="2320">
        <f t="shared" si="157"/>
        <v>0</v>
      </c>
      <c r="AO45" s="2320">
        <f t="shared" si="157"/>
        <v>0</v>
      </c>
      <c r="AP45" s="2320">
        <f t="shared" si="157"/>
        <v>0</v>
      </c>
      <c r="AQ45" s="2320">
        <f t="shared" si="157"/>
        <v>0</v>
      </c>
      <c r="AR45" s="2320">
        <f t="shared" si="157"/>
        <v>0</v>
      </c>
      <c r="AS45" s="2322">
        <f t="shared" si="157"/>
        <v>0</v>
      </c>
      <c r="AT45" s="1580">
        <f t="shared" si="157"/>
        <v>0</v>
      </c>
      <c r="AU45" s="1731">
        <f t="shared" si="157"/>
        <v>0</v>
      </c>
      <c r="AV45" s="2321">
        <f t="shared" si="157"/>
        <v>0</v>
      </c>
      <c r="AW45" s="2320">
        <f t="shared" si="157"/>
        <v>0</v>
      </c>
      <c r="AX45" s="2320">
        <f t="shared" si="157"/>
        <v>0</v>
      </c>
      <c r="AY45" s="2320">
        <f t="shared" si="157"/>
        <v>0</v>
      </c>
      <c r="AZ45" s="2320">
        <f t="shared" si="157"/>
        <v>0</v>
      </c>
      <c r="BA45" s="2320">
        <f t="shared" si="157"/>
        <v>0</v>
      </c>
      <c r="BB45" s="2320">
        <f t="shared" si="157"/>
        <v>0</v>
      </c>
      <c r="BC45" s="2320">
        <f t="shared" si="157"/>
        <v>0</v>
      </c>
      <c r="BD45" s="2320">
        <f t="shared" si="157"/>
        <v>0</v>
      </c>
      <c r="BE45" s="2322">
        <f t="shared" si="157"/>
        <v>0</v>
      </c>
      <c r="BF45" s="1580">
        <f t="shared" si="157"/>
        <v>0</v>
      </c>
      <c r="BG45" s="1731">
        <f t="shared" si="157"/>
        <v>0</v>
      </c>
      <c r="BH45" s="2321">
        <f t="shared" si="157"/>
        <v>0</v>
      </c>
      <c r="BI45" s="2320">
        <f t="shared" si="157"/>
        <v>0</v>
      </c>
      <c r="BJ45" s="2320">
        <f t="shared" si="157"/>
        <v>0</v>
      </c>
      <c r="BK45" s="2322">
        <f t="shared" si="157"/>
        <v>0</v>
      </c>
      <c r="BL45" s="1580">
        <f t="shared" si="157"/>
        <v>0</v>
      </c>
      <c r="BM45" s="1731">
        <f t="shared" si="157"/>
        <v>0</v>
      </c>
      <c r="BN45" s="2321">
        <f t="shared" si="157"/>
        <v>0</v>
      </c>
      <c r="BO45" s="2320">
        <f t="shared" si="157"/>
        <v>0</v>
      </c>
      <c r="BP45" s="2320">
        <f t="shared" ref="BP45:CG45" si="158">(BP42+BP43)*3</f>
        <v>0</v>
      </c>
      <c r="BQ45" s="2320">
        <f t="shared" si="158"/>
        <v>0</v>
      </c>
      <c r="BR45" s="2320">
        <f t="shared" si="158"/>
        <v>0</v>
      </c>
      <c r="BS45" s="2320">
        <f t="shared" si="158"/>
        <v>0</v>
      </c>
      <c r="BT45" s="2320">
        <f t="shared" si="158"/>
        <v>0</v>
      </c>
      <c r="BU45" s="2320">
        <f t="shared" si="158"/>
        <v>0</v>
      </c>
      <c r="BV45" s="2320">
        <f t="shared" si="158"/>
        <v>0</v>
      </c>
      <c r="BW45" s="2320">
        <f t="shared" si="158"/>
        <v>0</v>
      </c>
      <c r="BX45" s="2322">
        <f t="shared" si="158"/>
        <v>0</v>
      </c>
      <c r="BY45" s="1580">
        <f t="shared" si="158"/>
        <v>0</v>
      </c>
      <c r="BZ45" s="1731">
        <f t="shared" si="158"/>
        <v>0</v>
      </c>
      <c r="CA45" s="2321">
        <f t="shared" si="158"/>
        <v>0</v>
      </c>
      <c r="CB45" s="2320">
        <f t="shared" si="158"/>
        <v>0</v>
      </c>
      <c r="CC45" s="2320">
        <f t="shared" si="158"/>
        <v>0</v>
      </c>
      <c r="CD45" s="2320">
        <f t="shared" si="158"/>
        <v>0</v>
      </c>
      <c r="CE45" s="2322">
        <f t="shared" si="158"/>
        <v>0</v>
      </c>
      <c r="CF45" s="1580">
        <f t="shared" si="158"/>
        <v>0</v>
      </c>
      <c r="CG45" s="1731">
        <f t="shared" si="158"/>
        <v>0</v>
      </c>
    </row>
    <row r="46" spans="1:86" ht="24" customHeight="1" thickBot="1">
      <c r="A46" s="2882" t="s">
        <v>325</v>
      </c>
      <c r="B46" s="2945"/>
      <c r="C46" s="2320">
        <f>ATP/3*((C24&gt;=9/37)+(C24&gt;=18/37)+(C24&gt;=27/37))</f>
        <v>0</v>
      </c>
      <c r="D46" s="3266">
        <f>ATP/3*((D24&gt;=9/37)+(D24&gt;=18/37)+(D24&gt;=27/37))</f>
        <v>0</v>
      </c>
      <c r="E46" s="3265">
        <f>ATP/3*((E24&gt;=9/37)+(E24&gt;=18/37)+(E24&gt;=27/37))</f>
        <v>0</v>
      </c>
      <c r="F46" s="2320">
        <f>ATP/3*((F24&gt;=9/37)+(F24&gt;=18/37)+(F24&gt;=27/37))</f>
        <v>0</v>
      </c>
      <c r="G46" s="2320">
        <f>ATP/3*((G24&gt;=9/37)+(G24&gt;=18/37)+(G24&gt;=27/37))</f>
        <v>0</v>
      </c>
      <c r="H46" s="2320">
        <f>ATP/3*((H24&gt;=9/37)+(H24&gt;=18/37)+(H24&gt;=27/37))</f>
        <v>0</v>
      </c>
      <c r="I46" s="2320">
        <f>ATP/3*((I24&gt;=9/37)+(I24&gt;=18/37)+(I24&gt;=27/37))</f>
        <v>0</v>
      </c>
      <c r="J46" s="2320">
        <f>ATP/3*((J24&gt;=9/37)+(J24&gt;=18/37)+(J24&gt;=27/37))</f>
        <v>0</v>
      </c>
      <c r="K46" s="2320">
        <f>ATP/3*((K24&gt;=9/37)+(K24&gt;=18/37)+(K24&gt;=27/37))</f>
        <v>0</v>
      </c>
      <c r="L46" s="2320">
        <f>ATP/3*((L24&gt;=9/37)+(L24&gt;=18/37)+(L24&gt;=27/37))</f>
        <v>0</v>
      </c>
      <c r="M46" s="2320">
        <f>ATP/3*((M24&gt;=9/37)+(M24&gt;=18/37)+(M24&gt;=27/37))</f>
        <v>0</v>
      </c>
      <c r="N46" s="2320">
        <f>ATP/3*((N24&gt;=9/37)+(N24&gt;=18/37)+(N24&gt;=27/37))</f>
        <v>0</v>
      </c>
      <c r="O46" s="2320">
        <f>ATP/3*((O24&gt;=9/37)+(O24&gt;=18/37)+(O24&gt;=27/37))</f>
        <v>0</v>
      </c>
      <c r="P46" s="2320">
        <f>ATP/3*((P24&gt;=9/37)+(P24&gt;=18/37)+(P24&gt;=27/37))</f>
        <v>0</v>
      </c>
      <c r="Q46" s="2320">
        <f>ATP/3*((Q24&gt;=9/37)+(Q24&gt;=18/37)+(Q24&gt;=27/37))</f>
        <v>0</v>
      </c>
      <c r="R46" s="2320">
        <f>ATP/3*((R24&gt;=9/37)+(R24&gt;=18/37)+(R24&gt;=27/37))</f>
        <v>0</v>
      </c>
      <c r="S46" s="2320">
        <f>ATP/3*((S24&gt;=9/37)+(S24&gt;=18/37)+(S24&gt;=27/37))</f>
        <v>0</v>
      </c>
      <c r="T46" s="3267">
        <f>SatsBilag!$B$14*'Lon pæd., TAP mm'!T9</f>
        <v>0</v>
      </c>
      <c r="U46" s="3268">
        <f>SatsBilag!$B$14*'Lon pæd., TAP mm'!U9</f>
        <v>0</v>
      </c>
      <c r="V46" s="3265">
        <f>ATP/3*((V24&gt;=9/37)+(V24&gt;=18/37)+(V24&gt;=27/37))</f>
        <v>0</v>
      </c>
      <c r="W46" s="3268">
        <f>ATP/3*((W24&gt;=9/37)+(W24&gt;=18/37)+(W24&gt;=27/37))</f>
        <v>0</v>
      </c>
      <c r="X46" s="3265">
        <f>ATP/3*((X24&gt;=9/37)+(X24&gt;=18/37)+(X24&gt;=27/37))</f>
        <v>0</v>
      </c>
      <c r="Y46" s="2320">
        <f>ATP/3*((Y24&gt;=9/37)+(Y24&gt;=18/37)+(Y24&gt;=27/37))</f>
        <v>0</v>
      </c>
      <c r="Z46" s="2320">
        <f>ATP/3*((Z24&gt;=9/37)+(Z24&gt;=18/37)+(Z24&gt;=27/37))</f>
        <v>0</v>
      </c>
      <c r="AA46" s="2320">
        <f>ATP/3*((AA24&gt;=9/37)+(AA24&gt;=18/37)+(AA24&gt;=27/37))</f>
        <v>0</v>
      </c>
      <c r="AB46" s="2320">
        <f>ATP/3*((AB24&gt;=9/37)+(AB24&gt;=18/37)+(AB24&gt;=27/37))</f>
        <v>0</v>
      </c>
      <c r="AC46" s="2320">
        <f>ATP/3*((AC24&gt;=9/37)+(AC24&gt;=18/37)+(AC24&gt;=27/37))</f>
        <v>0</v>
      </c>
      <c r="AD46" s="2320">
        <f>ATP/3*((AD24&gt;=9/37)+(AD24&gt;=18/37)+(AD24&gt;=27/37))</f>
        <v>0</v>
      </c>
      <c r="AE46" s="2320">
        <f>ATP/3*((AE24&gt;=9/37)+(AE24&gt;=18/37)+(AE24&gt;=27/37))</f>
        <v>0</v>
      </c>
      <c r="AF46" s="2320">
        <f>ATP/3*((AF24&gt;=9/37)+(AF24&gt;=18/37)+(AF24&gt;=27/37))</f>
        <v>0</v>
      </c>
      <c r="AG46" s="2320">
        <f>ATP/3*((AG24&gt;=9/37)+(AG24&gt;=18/37)+(AG24&gt;=27/37))</f>
        <v>0</v>
      </c>
      <c r="AH46" s="3267">
        <f>SatsBilag!$B$14*'Lon pæd., TAP mm'!AH9</f>
        <v>0</v>
      </c>
      <c r="AI46" s="3268">
        <f>SatsBilag!$B$14*'Lon pæd., TAP mm'!AI9</f>
        <v>0</v>
      </c>
      <c r="AJ46" s="3265">
        <f>ATP/3*((AJ24&gt;=9/37)+(AJ24&gt;=18/37)+(AJ24&gt;=27/37))</f>
        <v>0</v>
      </c>
      <c r="AK46" s="2320">
        <f>ATP/3*((AK24&gt;=9/37)+(AK24&gt;=18/37)+(AK24&gt;=27/37))</f>
        <v>0</v>
      </c>
      <c r="AL46" s="2320">
        <f>ATP/3*((AL24&gt;=9/37)+(AL24&gt;=18/37)+(AL24&gt;=27/37))</f>
        <v>0</v>
      </c>
      <c r="AM46" s="2320">
        <f>ATP/3*((AM24&gt;=9/37)+(AM24&gt;=18/37)+(AM24&gt;=27/37))</f>
        <v>0</v>
      </c>
      <c r="AN46" s="2320">
        <f>ATP/3*((AN24&gt;=9/37)+(AN24&gt;=18/37)+(AN24&gt;=27/37))</f>
        <v>0</v>
      </c>
      <c r="AO46" s="2320">
        <f>ATP/3*((AO24&gt;=9/37)+(AO24&gt;=18/37)+(AO24&gt;=27/37))</f>
        <v>0</v>
      </c>
      <c r="AP46" s="2320">
        <f>ATP/3*((AP24&gt;=9/37)+(AP24&gt;=18/37)+(AP24&gt;=27/37))</f>
        <v>0</v>
      </c>
      <c r="AQ46" s="2320">
        <f>ATP/3*((AQ24&gt;=9/37)+(AQ24&gt;=18/37)+(AQ24&gt;=27/37))</f>
        <v>0</v>
      </c>
      <c r="AR46" s="2320">
        <f>ATP/3*((AR24&gt;=9/37)+(AR24&gt;=18/37)+(AR24&gt;=27/37))</f>
        <v>0</v>
      </c>
      <c r="AS46" s="2320">
        <f>ATP/3*((AS24&gt;=9/37)+(AS24&gt;=18/37)+(AS24&gt;=27/37))</f>
        <v>0</v>
      </c>
      <c r="AT46" s="3267">
        <f>SatsBilag!$B$14*'Lon pæd., TAP mm'!AT9</f>
        <v>0</v>
      </c>
      <c r="AU46" s="3268">
        <f>SatsBilag!$B$14*'Lon pæd., TAP mm'!AU9</f>
        <v>0</v>
      </c>
      <c r="AV46" s="3265">
        <f>ATP/3*((AV24&gt;=9/37)+(AV24&gt;=18/37)+(AV24&gt;=27/37))</f>
        <v>0</v>
      </c>
      <c r="AW46" s="2320">
        <f>ATP/3*((AW24&gt;=9/37)+(AW24&gt;=18/37)+(AW24&gt;=27/37))</f>
        <v>0</v>
      </c>
      <c r="AX46" s="2320">
        <f>ATP/3*((AX24&gt;=9/37)+(AX24&gt;=18/37)+(AX24&gt;=27/37))</f>
        <v>0</v>
      </c>
      <c r="AY46" s="2320">
        <f>ATP/3*((AY24&gt;=9/37)+(AY24&gt;=18/37)+(AY24&gt;=27/37))</f>
        <v>0</v>
      </c>
      <c r="AZ46" s="2320">
        <f>ATP/3*((AZ24&gt;=9/37)+(AZ24&gt;=18/37)+(AZ24&gt;=27/37))</f>
        <v>0</v>
      </c>
      <c r="BA46" s="2320">
        <f>ATP/3*((BA24&gt;=9/37)+(BA24&gt;=18/37)+(BA24&gt;=27/37))</f>
        <v>0</v>
      </c>
      <c r="BB46" s="2320">
        <f>ATP/3*((BB24&gt;=9/37)+(BB24&gt;=18/37)+(BB24&gt;=27/37))</f>
        <v>0</v>
      </c>
      <c r="BC46" s="2320">
        <f>ATP/3*((BC24&gt;=9/37)+(BC24&gt;=18/37)+(BC24&gt;=27/37))</f>
        <v>0</v>
      </c>
      <c r="BD46" s="2320">
        <f>ATP/3*((BD24&gt;=9/37)+(BD24&gt;=18/37)+(BD24&gt;=27/37))</f>
        <v>0</v>
      </c>
      <c r="BE46" s="2320">
        <f>ATP/3*((BE24&gt;=9/37)+(BE24&gt;=18/37)+(BE24&gt;=27/37))</f>
        <v>0</v>
      </c>
      <c r="BF46" s="3267">
        <f>SatsBilag!$B$14*'Lon pæd., TAP mm'!BF9</f>
        <v>0</v>
      </c>
      <c r="BG46" s="3268">
        <f>SatsBilag!$B$14*'Lon pæd., TAP mm'!BG9</f>
        <v>0</v>
      </c>
      <c r="BH46" s="3265">
        <f>ATP/3*((BH24&gt;=9/37)+(BH24&gt;=18/37)+(BH24&gt;=27/37))</f>
        <v>0</v>
      </c>
      <c r="BI46" s="2320">
        <f>ATP/3*((BI24&gt;=9/37)+(BI24&gt;=18/37)+(BI24&gt;=27/37))</f>
        <v>0</v>
      </c>
      <c r="BJ46" s="2320">
        <f>ATP/3*((BJ24&gt;=9/37)+(BJ24&gt;=18/37)+(BJ24&gt;=27/37))</f>
        <v>0</v>
      </c>
      <c r="BK46" s="2320">
        <f>ATP/3*((BK24&gt;=9/37)+(BK24&gt;=18/37)+(BK24&gt;=27/37))</f>
        <v>0</v>
      </c>
      <c r="BL46" s="3267">
        <f>SatsBilag!$B$14*'Lon pæd., TAP mm'!BL9</f>
        <v>0</v>
      </c>
      <c r="BM46" s="3268">
        <f>SatsBilag!$B$14*'Lon pæd., TAP mm'!BM9</f>
        <v>0</v>
      </c>
      <c r="BN46" s="3265">
        <f>ATP/3*((BN24&gt;=9/37)+(BN24&gt;=18/37)+(BN24&gt;=27/37))</f>
        <v>0</v>
      </c>
      <c r="BO46" s="2320">
        <f>ATP/3*((BO24&gt;=9/37)+(BO24&gt;=18/37)+(BO24&gt;=27/37))</f>
        <v>0</v>
      </c>
      <c r="BP46" s="2320">
        <f>ATP/3*((BP24&gt;=9/37)+(BP24&gt;=18/37)+(BP24&gt;=27/37))</f>
        <v>0</v>
      </c>
      <c r="BQ46" s="2320">
        <f>ATP/3*((BQ24&gt;=9/37)+(BQ24&gt;=18/37)+(BQ24&gt;=27/37))</f>
        <v>0</v>
      </c>
      <c r="BR46" s="2320">
        <f>ATP/3*((BR24&gt;=9/37)+(BR24&gt;=18/37)+(BR24&gt;=27/37))</f>
        <v>0</v>
      </c>
      <c r="BS46" s="2320">
        <f>ATP/3*((BS24&gt;=9/37)+(BS24&gt;=18/37)+(BS24&gt;=27/37))</f>
        <v>0</v>
      </c>
      <c r="BT46" s="2320">
        <f>ATP/3*((BT24&gt;=9/37)+(BT24&gt;=18/37)+(BT24&gt;=27/37))</f>
        <v>0</v>
      </c>
      <c r="BU46" s="2320">
        <f>ATP/3*((BU24&gt;=9/37)+(BU24&gt;=18/37)+(BU24&gt;=27/37))</f>
        <v>0</v>
      </c>
      <c r="BV46" s="2320">
        <f>ATP/3*((BV24&gt;=9/37)+(BV24&gt;=18/37)+(BV24&gt;=27/37))</f>
        <v>0</v>
      </c>
      <c r="BW46" s="2320">
        <f>ATP/3*((BW24&gt;=9/37)+(BW24&gt;=18/37)+(BW24&gt;=27/37))</f>
        <v>0</v>
      </c>
      <c r="BX46" s="2320">
        <f>ATP/3*((BX24&gt;=9/37)+(BX24&gt;=18/37)+(BX24&gt;=27/37))</f>
        <v>0</v>
      </c>
      <c r="BY46" s="3267">
        <f>SatsBilag!$B$14*'Lon pæd., TAP mm'!BY9</f>
        <v>0</v>
      </c>
      <c r="BZ46" s="3268">
        <f>SatsBilag!$B$14*'Lon pæd., TAP mm'!BZ9</f>
        <v>0</v>
      </c>
      <c r="CA46" s="3265">
        <f>ATP/3*((CA24&gt;=9/37)+(CA24&gt;=18/37)+(CA24&gt;=27/37))</f>
        <v>0</v>
      </c>
      <c r="CB46" s="2320">
        <f>ATP/3*((CB24&gt;=9/37)+(CB24&gt;=18/37)+(CB24&gt;=27/37))</f>
        <v>0</v>
      </c>
      <c r="CC46" s="2320">
        <f>ATP/3*((CC24&gt;=9/37)+(CC24&gt;=18/37)+(CC24&gt;=27/37))</f>
        <v>0</v>
      </c>
      <c r="CD46" s="2320">
        <f>ATP/3*((CD24&gt;=9/37)+(CD24&gt;=18/37)+(CD24&gt;=27/37))</f>
        <v>0</v>
      </c>
      <c r="CE46" s="2320">
        <f>ATP/3*((CE24&gt;=9/37)+(CE24&gt;=18/37)+(CE24&gt;=27/37))</f>
        <v>0</v>
      </c>
      <c r="CF46" s="3267">
        <f>SatsBilag!$B$14*'Lon pæd., TAP mm'!CF9</f>
        <v>0</v>
      </c>
      <c r="CG46" s="3268">
        <f>SatsBilag!$B$14*'Lon pæd., TAP mm'!CG9</f>
        <v>0</v>
      </c>
      <c r="CH46" s="98" t="s">
        <v>341</v>
      </c>
    </row>
    <row r="47" spans="1:86" ht="24" customHeight="1" thickBot="1">
      <c r="A47" s="2882" t="s">
        <v>342</v>
      </c>
      <c r="B47" s="2945"/>
      <c r="C47" s="2320">
        <f t="shared" ref="C47" si="159">C44+(C45/3*2)+(C46*2/3)</f>
        <v>0</v>
      </c>
      <c r="D47" s="2318">
        <f t="shared" ref="D47" si="160">D44+(D45/3*2)+(D46*2/3)</f>
        <v>0</v>
      </c>
      <c r="E47" s="2321">
        <f t="shared" ref="E47:H47" si="161">E44+(E45/3*2)+(E46*2/3)</f>
        <v>0</v>
      </c>
      <c r="F47" s="2321">
        <f t="shared" si="161"/>
        <v>0</v>
      </c>
      <c r="G47" s="2321">
        <f t="shared" si="161"/>
        <v>0</v>
      </c>
      <c r="H47" s="2321">
        <f t="shared" si="161"/>
        <v>0</v>
      </c>
      <c r="I47" s="2320">
        <f t="shared" ref="I47" si="162">I44+(I45/3*2)+(I46*2/3)</f>
        <v>0</v>
      </c>
      <c r="J47" s="2320">
        <f t="shared" ref="J47" si="163">J44+(J45/3*2)+(J46*2/3)</f>
        <v>0</v>
      </c>
      <c r="K47" s="2320">
        <f t="shared" ref="K47" si="164">K44+(K45/3*2)+(K46*2/3)</f>
        <v>0</v>
      </c>
      <c r="L47" s="2320">
        <f t="shared" ref="L47" si="165">L44+(L45/3*2)+(L46*2/3)</f>
        <v>0</v>
      </c>
      <c r="M47" s="2320">
        <f t="shared" ref="M47" si="166">M44+(M45/3*2)+(M46*2/3)</f>
        <v>0</v>
      </c>
      <c r="N47" s="2320">
        <f t="shared" ref="N47" si="167">N44+(N45/3*2)+(N46*2/3)</f>
        <v>0</v>
      </c>
      <c r="O47" s="2320">
        <f t="shared" ref="O47" si="168">O44+(O45/3*2)+(O46*2/3)</f>
        <v>0</v>
      </c>
      <c r="P47" s="2320">
        <f t="shared" ref="P47" si="169">P44+(P45/3*2)+(P46*2/3)</f>
        <v>0</v>
      </c>
      <c r="Q47" s="2320">
        <f t="shared" ref="Q47" si="170">Q44+(Q45/3*2)+(Q46*2/3)</f>
        <v>0</v>
      </c>
      <c r="R47" s="2320">
        <f t="shared" ref="R47" si="171">R44+(R45/3*2)+(R46*2/3)</f>
        <v>0</v>
      </c>
      <c r="S47" s="2322">
        <f t="shared" ref="S47" si="172">S44+(S45/3*2)+(S46*2/3)</f>
        <v>0</v>
      </c>
      <c r="T47" s="1580">
        <f t="shared" ref="T47:BM47" si="173">T41+T45+T46*2/3</f>
        <v>0</v>
      </c>
      <c r="U47" s="1731">
        <f t="shared" si="173"/>
        <v>0</v>
      </c>
      <c r="V47" s="2321">
        <f t="shared" ref="V47" si="174">V44+(V45/3*2)+(V46*2/3)</f>
        <v>0</v>
      </c>
      <c r="W47" s="2318">
        <f t="shared" ref="W47" si="175">W44+(W45/3*2)+(W46*2/3)</f>
        <v>0</v>
      </c>
      <c r="X47" s="2321">
        <f t="shared" ref="X47" si="176">X44+(X45/3*2)+(X46*2/3)</f>
        <v>0</v>
      </c>
      <c r="Y47" s="2320">
        <f t="shared" ref="Y47" si="177">Y44+(Y45/3*2)+(Y46*2/3)</f>
        <v>0</v>
      </c>
      <c r="Z47" s="2320">
        <f t="shared" ref="Z47" si="178">Z44+(Z45/3*2)+(Z46*2/3)</f>
        <v>0</v>
      </c>
      <c r="AA47" s="2320">
        <f t="shared" ref="AA47" si="179">AA44+(AA45/3*2)+(AA46*2/3)</f>
        <v>0</v>
      </c>
      <c r="AB47" s="2320">
        <f t="shared" ref="AB47" si="180">AB44+(AB45/3*2)+(AB46*2/3)</f>
        <v>0</v>
      </c>
      <c r="AC47" s="2320">
        <f t="shared" ref="AC47" si="181">AC44+(AC45/3*2)+(AC46*2/3)</f>
        <v>0</v>
      </c>
      <c r="AD47" s="2320">
        <f t="shared" ref="AD47" si="182">AD44+(AD45/3*2)+(AD46*2/3)</f>
        <v>0</v>
      </c>
      <c r="AE47" s="2320">
        <f t="shared" ref="AE47" si="183">AE44+(AE45/3*2)+(AE46*2/3)</f>
        <v>0</v>
      </c>
      <c r="AF47" s="2320">
        <f t="shared" ref="AF47" si="184">AF44+(AF45/3*2)+(AF46*2/3)</f>
        <v>0</v>
      </c>
      <c r="AG47" s="2322">
        <f t="shared" ref="AG47" si="185">AG44+(AG45/3*2)+(AG46*2/3)</f>
        <v>0</v>
      </c>
      <c r="AH47" s="1580">
        <f t="shared" si="173"/>
        <v>0</v>
      </c>
      <c r="AI47" s="1731">
        <f t="shared" si="173"/>
        <v>0</v>
      </c>
      <c r="AJ47" s="2321">
        <f t="shared" ref="AJ47" si="186">AJ44+(AJ45/3*2)+(AJ46*2/3)</f>
        <v>0</v>
      </c>
      <c r="AK47" s="2320">
        <f t="shared" ref="AK47" si="187">AK44+(AK45/3*2)+(AK46*2/3)</f>
        <v>0</v>
      </c>
      <c r="AL47" s="2320">
        <f t="shared" ref="AL47" si="188">AL44+(AL45/3*2)+(AL46*2/3)</f>
        <v>0</v>
      </c>
      <c r="AM47" s="2320">
        <f t="shared" ref="AM47" si="189">AM44+(AM45/3*2)+(AM46*2/3)</f>
        <v>0</v>
      </c>
      <c r="AN47" s="2320">
        <f t="shared" ref="AN47" si="190">AN44+(AN45/3*2)+(AN46*2/3)</f>
        <v>0</v>
      </c>
      <c r="AO47" s="2320">
        <f t="shared" ref="AO47" si="191">AO44+(AO45/3*2)+(AO46*2/3)</f>
        <v>0</v>
      </c>
      <c r="AP47" s="2320">
        <f t="shared" ref="AP47" si="192">AP44+(AP45/3*2)+(AP46*2/3)</f>
        <v>0</v>
      </c>
      <c r="AQ47" s="2320">
        <f t="shared" ref="AQ47" si="193">AQ44+(AQ45/3*2)+(AQ46*2/3)</f>
        <v>0</v>
      </c>
      <c r="AR47" s="2320">
        <f t="shared" ref="AR47" si="194">AR44+(AR45/3*2)+(AR46*2/3)</f>
        <v>0</v>
      </c>
      <c r="AS47" s="2322">
        <f t="shared" ref="AS47" si="195">AS44+(AS45/3*2)+(AS46*2/3)</f>
        <v>0</v>
      </c>
      <c r="AT47" s="1580">
        <f t="shared" si="173"/>
        <v>0</v>
      </c>
      <c r="AU47" s="1731">
        <f t="shared" si="173"/>
        <v>0</v>
      </c>
      <c r="AV47" s="2321">
        <f t="shared" ref="AV47" si="196">AV44+(AV45/3*2)+(AV46*2/3)</f>
        <v>0</v>
      </c>
      <c r="AW47" s="2320">
        <f t="shared" ref="AW47" si="197">AW44+(AW45/3*2)+(AW46*2/3)</f>
        <v>0</v>
      </c>
      <c r="AX47" s="2320">
        <f t="shared" ref="AX47" si="198">AX44+(AX45/3*2)+(AX46*2/3)</f>
        <v>0</v>
      </c>
      <c r="AY47" s="2320">
        <f t="shared" ref="AY47" si="199">AY44+(AY45/3*2)+(AY46*2/3)</f>
        <v>0</v>
      </c>
      <c r="AZ47" s="2320">
        <f t="shared" ref="AZ47" si="200">AZ44+(AZ45/3*2)+(AZ46*2/3)</f>
        <v>0</v>
      </c>
      <c r="BA47" s="2320">
        <f t="shared" ref="BA47" si="201">BA44+(BA45/3*2)+(BA46*2/3)</f>
        <v>0</v>
      </c>
      <c r="BB47" s="2320">
        <f t="shared" ref="BB47" si="202">BB44+(BB45/3*2)+(BB46*2/3)</f>
        <v>0</v>
      </c>
      <c r="BC47" s="2320">
        <f t="shared" ref="BC47" si="203">BC44+(BC45/3*2)+(BC46*2/3)</f>
        <v>0</v>
      </c>
      <c r="BD47" s="2320">
        <f t="shared" ref="BD47" si="204">BD44+(BD45/3*2)+(BD46*2/3)</f>
        <v>0</v>
      </c>
      <c r="BE47" s="2322">
        <f t="shared" ref="BE47" si="205">BE44+(BE45/3*2)+(BE46*2/3)</f>
        <v>0</v>
      </c>
      <c r="BF47" s="1580">
        <f t="shared" si="173"/>
        <v>0</v>
      </c>
      <c r="BG47" s="1731">
        <f t="shared" si="173"/>
        <v>0</v>
      </c>
      <c r="BH47" s="2321">
        <f t="shared" ref="BH47" si="206">BH44+(BH45/3*2)+(BH46*2/3)</f>
        <v>0</v>
      </c>
      <c r="BI47" s="2320">
        <f t="shared" ref="BI47" si="207">BI44+(BI45/3*2)+(BI46*2/3)</f>
        <v>0</v>
      </c>
      <c r="BJ47" s="2320">
        <f t="shared" ref="BJ47" si="208">BJ44+(BJ45/3*2)+(BJ46*2/3)</f>
        <v>0</v>
      </c>
      <c r="BK47" s="2322">
        <f t="shared" ref="BK47" si="209">BK44+(BK45/3*2)+(BK46*2/3)</f>
        <v>0</v>
      </c>
      <c r="BL47" s="1580">
        <f t="shared" si="173"/>
        <v>0</v>
      </c>
      <c r="BM47" s="1731">
        <f t="shared" si="173"/>
        <v>0</v>
      </c>
      <c r="BN47" s="2321">
        <f>BN44+(BN45/3*2)+(BN46/3*2)</f>
        <v>0</v>
      </c>
      <c r="BO47" s="2320">
        <f t="shared" ref="BO47:BX47" si="210">BO44+(BO45/3*2)+(BO46*2/3)</f>
        <v>0</v>
      </c>
      <c r="BP47" s="2320">
        <f t="shared" si="210"/>
        <v>0</v>
      </c>
      <c r="BQ47" s="2320">
        <f t="shared" si="210"/>
        <v>0</v>
      </c>
      <c r="BR47" s="2320">
        <f t="shared" si="210"/>
        <v>0</v>
      </c>
      <c r="BS47" s="2320">
        <f t="shared" si="210"/>
        <v>0</v>
      </c>
      <c r="BT47" s="2320">
        <f t="shared" si="210"/>
        <v>0</v>
      </c>
      <c r="BU47" s="2320">
        <f t="shared" si="210"/>
        <v>0</v>
      </c>
      <c r="BV47" s="2320">
        <f t="shared" si="210"/>
        <v>0</v>
      </c>
      <c r="BW47" s="2320">
        <f t="shared" si="210"/>
        <v>0</v>
      </c>
      <c r="BX47" s="2322">
        <f t="shared" si="210"/>
        <v>0</v>
      </c>
      <c r="BY47" s="1580">
        <f t="shared" ref="BY47:CG47" si="211">BY41+BY45+BY46*2/3</f>
        <v>0</v>
      </c>
      <c r="BZ47" s="1731">
        <f t="shared" si="211"/>
        <v>0</v>
      </c>
      <c r="CA47" s="2321">
        <f t="shared" ref="CA47" si="212">CA44+(CA45/3*2)+(CA46*2/3)</f>
        <v>0</v>
      </c>
      <c r="CB47" s="2320">
        <f t="shared" ref="CB47" si="213">CB44+(CB45/3*2)+(CB46*2/3)</f>
        <v>0</v>
      </c>
      <c r="CC47" s="2320">
        <f t="shared" ref="CC47" si="214">CC44+(CC45/3*2)+(CC46*2/3)</f>
        <v>0</v>
      </c>
      <c r="CD47" s="2320">
        <f t="shared" ref="CD47" si="215">CD44+(CD45/3*2)+(CD46*2/3)</f>
        <v>0</v>
      </c>
      <c r="CE47" s="2322">
        <f t="shared" ref="CE47" si="216">CE44+(CE45/3*2)+(CE46*2/3)</f>
        <v>0</v>
      </c>
      <c r="CF47" s="1580">
        <f t="shared" si="211"/>
        <v>0</v>
      </c>
      <c r="CG47" s="1731">
        <f t="shared" si="211"/>
        <v>0</v>
      </c>
      <c r="CH47" s="923" t="str">
        <f>ROUND(SUM(C47:BI47),0)&amp;" i alt pr. måned"</f>
        <v>0 i alt pr. måned</v>
      </c>
    </row>
    <row r="48" spans="1:86" ht="36" customHeight="1">
      <c r="A48" s="2947" t="str">
        <f>"Seniorbonusordning for HK og 3F ansatte der i "&amp;budgetår-1&amp;" var eller fyldte 62 år. Bonusordningen er 0,8% af årslønnen i "&amp;budgetår-1&amp;" og udbetales januar "&amp;budgetår&amp;""</f>
        <v>Seniorbonusordning for HK og 3F ansatte der i 2023 var eller fyldte 62 år. Bonusordningen er 0,8% af årslønnen i 2023 og udbetales januar 2024</v>
      </c>
      <c r="B48" s="2947"/>
      <c r="C48" s="2285"/>
      <c r="D48" s="2286"/>
      <c r="E48" s="2287"/>
      <c r="F48" s="2288"/>
      <c r="G48" s="2288"/>
      <c r="H48" s="2288"/>
      <c r="I48" s="2288"/>
      <c r="J48" s="2288"/>
      <c r="K48" s="2288"/>
      <c r="L48" s="2288"/>
      <c r="M48" s="2288"/>
      <c r="N48" s="2288"/>
      <c r="O48" s="2288"/>
      <c r="P48" s="2288"/>
      <c r="Q48" s="2288"/>
      <c r="R48" s="2288"/>
      <c r="S48" s="2286"/>
      <c r="T48" s="1755"/>
      <c r="U48" s="1732"/>
      <c r="V48" s="2287"/>
      <c r="W48" s="2286"/>
      <c r="X48" s="2289"/>
      <c r="Y48" s="2288"/>
      <c r="Z48" s="2288"/>
      <c r="AA48" s="2288"/>
      <c r="AB48" s="2288"/>
      <c r="AC48" s="2288"/>
      <c r="AD48" s="2288"/>
      <c r="AE48" s="2288"/>
      <c r="AF48" s="2288"/>
      <c r="AG48" s="2286"/>
      <c r="AH48" s="1755"/>
      <c r="AI48" s="1732"/>
      <c r="AJ48" s="2287"/>
      <c r="AK48" s="2288"/>
      <c r="AL48" s="2288"/>
      <c r="AM48" s="2288"/>
      <c r="AN48" s="2288"/>
      <c r="AO48" s="2288"/>
      <c r="AP48" s="2288"/>
      <c r="AQ48" s="2288"/>
      <c r="AR48" s="2288"/>
      <c r="AS48" s="2286"/>
      <c r="AT48" s="1755"/>
      <c r="AU48" s="1732"/>
      <c r="AV48" s="2287"/>
      <c r="AW48" s="2288"/>
      <c r="AX48" s="2288"/>
      <c r="AY48" s="2288"/>
      <c r="AZ48" s="2288"/>
      <c r="BA48" s="2288"/>
      <c r="BB48" s="2288"/>
      <c r="BC48" s="2288"/>
      <c r="BD48" s="2288"/>
      <c r="BE48" s="2290"/>
      <c r="BF48" s="1755"/>
      <c r="BG48" s="1732"/>
      <c r="BH48" s="1578"/>
      <c r="BI48" s="1726"/>
      <c r="BJ48" s="1726"/>
      <c r="BK48" s="1729"/>
      <c r="BL48" s="1755"/>
      <c r="BM48" s="1732"/>
      <c r="BN48" s="1578"/>
      <c r="BO48" s="1726"/>
      <c r="BP48" s="1726"/>
      <c r="BQ48" s="1726"/>
      <c r="BR48" s="1726"/>
      <c r="BS48" s="1726"/>
      <c r="BT48" s="1726"/>
      <c r="BU48" s="1726"/>
      <c r="BV48" s="1726"/>
      <c r="BW48" s="1726"/>
      <c r="BX48" s="1788"/>
      <c r="BY48" s="1755"/>
      <c r="BZ48" s="1732"/>
      <c r="CA48" s="1578"/>
      <c r="CB48" s="1726"/>
      <c r="CC48" s="1726"/>
      <c r="CD48" s="1726"/>
      <c r="CE48" s="1729"/>
      <c r="CF48" s="1755"/>
      <c r="CG48" s="1732"/>
      <c r="CH48" s="110"/>
    </row>
    <row r="49" spans="1:111" ht="36" customHeight="1">
      <c r="A49" s="2955" t="s">
        <v>1383</v>
      </c>
      <c r="B49" s="2829"/>
      <c r="C49" s="2307"/>
      <c r="D49" s="2305"/>
      <c r="E49" s="2303"/>
      <c r="F49" s="2304"/>
      <c r="G49" s="2304"/>
      <c r="H49" s="2304"/>
      <c r="I49" s="2304"/>
      <c r="J49" s="2304"/>
      <c r="K49" s="2304"/>
      <c r="L49" s="2304"/>
      <c r="M49" s="2304"/>
      <c r="N49" s="2304"/>
      <c r="O49" s="2304"/>
      <c r="P49" s="2304"/>
      <c r="Q49" s="2304"/>
      <c r="R49" s="2304"/>
      <c r="S49" s="2305"/>
      <c r="T49" s="2301"/>
      <c r="U49" s="2302"/>
      <c r="V49" s="2303"/>
      <c r="W49" s="2305"/>
      <c r="X49" s="2307"/>
      <c r="Y49" s="2304"/>
      <c r="Z49" s="2304"/>
      <c r="AA49" s="2304"/>
      <c r="AB49" s="2304"/>
      <c r="AC49" s="2304"/>
      <c r="AD49" s="2304"/>
      <c r="AE49" s="2304"/>
      <c r="AF49" s="2304"/>
      <c r="AG49" s="2305"/>
      <c r="AH49" s="2301"/>
      <c r="AI49" s="2302"/>
      <c r="AJ49" s="2303"/>
      <c r="AK49" s="2304"/>
      <c r="AL49" s="2304"/>
      <c r="AM49" s="2304"/>
      <c r="AN49" s="2304"/>
      <c r="AO49" s="2304"/>
      <c r="AP49" s="2304"/>
      <c r="AQ49" s="2304"/>
      <c r="AR49" s="2304"/>
      <c r="AS49" s="2305"/>
      <c r="AT49" s="2301"/>
      <c r="AU49" s="2302"/>
      <c r="AV49" s="2303"/>
      <c r="AW49" s="2304"/>
      <c r="AX49" s="2304"/>
      <c r="AY49" s="2304"/>
      <c r="AZ49" s="2304"/>
      <c r="BA49" s="2304"/>
      <c r="BB49" s="2304"/>
      <c r="BC49" s="2304"/>
      <c r="BD49" s="2304"/>
      <c r="BE49" s="2306"/>
      <c r="BF49" s="2301"/>
      <c r="BG49" s="2302"/>
      <c r="BH49" s="2303"/>
      <c r="BI49" s="2304"/>
      <c r="BJ49" s="2304"/>
      <c r="BK49" s="2305"/>
      <c r="BL49" s="2301"/>
      <c r="BM49" s="2302"/>
      <c r="BN49" s="2303"/>
      <c r="BO49" s="2304"/>
      <c r="BP49" s="2304"/>
      <c r="BQ49" s="2304"/>
      <c r="BR49" s="2304"/>
      <c r="BS49" s="2304"/>
      <c r="BT49" s="2304"/>
      <c r="BU49" s="2304"/>
      <c r="BV49" s="2304"/>
      <c r="BW49" s="2304"/>
      <c r="BX49" s="2306"/>
      <c r="BY49" s="2301"/>
      <c r="BZ49" s="2302"/>
      <c r="CA49" s="2303"/>
      <c r="CB49" s="2304"/>
      <c r="CC49" s="2304"/>
      <c r="CD49" s="2304"/>
      <c r="CE49" s="2305"/>
      <c r="CF49" s="2301"/>
      <c r="CG49" s="2302"/>
      <c r="CH49" s="110"/>
    </row>
    <row r="50" spans="1:111" ht="47" customHeight="1">
      <c r="A50" s="2826" t="str">
        <f>"Vedr. beregning af det særlige ferietillæg der udbetales maj og august "&amp;budgetår&amp;" oplyses her antal ansættelsesmåneder i perioden september "&amp;budgetår-1&amp;" - august "&amp;budgetår&amp;". Hvis alle måneder - skriv 12. Hvis den ansatte har mere end en kolonne, oplyses tallet i den kolonne/ansættelse der går videre til "&amp;budgetår+1&amp;"."</f>
        <v>Vedr. beregning af det særlige ferietillæg der udbetales maj og august 2024 oplyses her antal ansættelsesmåneder i perioden september 2023 - august 2024. Hvis alle måneder - skriv 12. Hvis den ansatte har mere end en kolonne, oplyses tallet i den kolonne/ansættelse der går videre til 2025.</v>
      </c>
      <c r="B50" s="2827"/>
      <c r="C50" s="2225"/>
      <c r="D50" s="1729"/>
      <c r="E50" s="1578"/>
      <c r="F50" s="1726"/>
      <c r="G50" s="1726"/>
      <c r="H50" s="1726"/>
      <c r="I50" s="1726"/>
      <c r="J50" s="1726"/>
      <c r="K50" s="1726"/>
      <c r="L50" s="1726"/>
      <c r="M50" s="1726"/>
      <c r="N50" s="1726"/>
      <c r="O50" s="1726"/>
      <c r="P50" s="1726"/>
      <c r="Q50" s="1726"/>
      <c r="R50" s="1726"/>
      <c r="S50" s="1729"/>
      <c r="T50" s="1755"/>
      <c r="U50" s="1732"/>
      <c r="V50" s="1578"/>
      <c r="W50" s="1729"/>
      <c r="X50" s="1742"/>
      <c r="Y50" s="1726"/>
      <c r="Z50" s="1726"/>
      <c r="AA50" s="1726"/>
      <c r="AB50" s="1726"/>
      <c r="AC50" s="1726"/>
      <c r="AD50" s="1726"/>
      <c r="AE50" s="1726"/>
      <c r="AF50" s="1726"/>
      <c r="AG50" s="1729"/>
      <c r="AH50" s="1755"/>
      <c r="AI50" s="1732"/>
      <c r="AJ50" s="1578"/>
      <c r="AK50" s="1726"/>
      <c r="AL50" s="1726"/>
      <c r="AM50" s="1726"/>
      <c r="AN50" s="1726"/>
      <c r="AO50" s="1726"/>
      <c r="AP50" s="1726"/>
      <c r="AQ50" s="1726"/>
      <c r="AR50" s="1726"/>
      <c r="AS50" s="1729"/>
      <c r="AT50" s="1755"/>
      <c r="AU50" s="1732"/>
      <c r="AV50" s="1578"/>
      <c r="AW50" s="1726"/>
      <c r="AX50" s="1726"/>
      <c r="AY50" s="1726"/>
      <c r="AZ50" s="1726"/>
      <c r="BA50" s="1726"/>
      <c r="BB50" s="1726"/>
      <c r="BC50" s="1726"/>
      <c r="BD50" s="1726"/>
      <c r="BE50" s="1788"/>
      <c r="BF50" s="1755"/>
      <c r="BG50" s="1732"/>
      <c r="BH50" s="1578"/>
      <c r="BI50" s="1726"/>
      <c r="BJ50" s="1726"/>
      <c r="BK50" s="1729"/>
      <c r="BL50" s="1755"/>
      <c r="BM50" s="1732"/>
      <c r="BN50" s="1578"/>
      <c r="BO50" s="1726"/>
      <c r="BP50" s="1726"/>
      <c r="BQ50" s="1726"/>
      <c r="BR50" s="1726"/>
      <c r="BS50" s="1726"/>
      <c r="BT50" s="1726"/>
      <c r="BU50" s="1726"/>
      <c r="BV50" s="1726"/>
      <c r="BW50" s="1726"/>
      <c r="BX50" s="1788"/>
      <c r="BY50" s="1755"/>
      <c r="BZ50" s="1732"/>
      <c r="CA50" s="1578"/>
      <c r="CB50" s="1726"/>
      <c r="CC50" s="1726"/>
      <c r="CD50" s="1726"/>
      <c r="CE50" s="1729"/>
      <c r="CF50" s="1755"/>
      <c r="CG50" s="1732"/>
      <c r="CH50" s="110"/>
    </row>
    <row r="51" spans="1:111" ht="36" customHeight="1">
      <c r="A51" s="2947" t="str">
        <f>"Særlig ferietillæg - 1,5% af den ferieberettiget løn optjent september "&amp;budgetår-1&amp;" - august "&amp;budgetår&amp;""</f>
        <v>Særlig ferietillæg - 1,5% af den ferieberettiget løn optjent september 2023 - august 2024</v>
      </c>
      <c r="B51" s="2947"/>
      <c r="C51" s="2226">
        <f t="shared" ref="C51:S51" si="217">IF(C13&gt;0,(C41*C50*1.5%),0)</f>
        <v>0</v>
      </c>
      <c r="D51" s="1747">
        <f t="shared" si="217"/>
        <v>0</v>
      </c>
      <c r="E51" s="1733">
        <f t="shared" si="217"/>
        <v>0</v>
      </c>
      <c r="F51" s="1734">
        <f t="shared" si="217"/>
        <v>0</v>
      </c>
      <c r="G51" s="1734">
        <f t="shared" si="217"/>
        <v>0</v>
      </c>
      <c r="H51" s="1734">
        <f t="shared" si="217"/>
        <v>0</v>
      </c>
      <c r="I51" s="1734">
        <f t="shared" si="217"/>
        <v>0</v>
      </c>
      <c r="J51" s="1734">
        <f t="shared" si="217"/>
        <v>0</v>
      </c>
      <c r="K51" s="1734">
        <f t="shared" si="217"/>
        <v>0</v>
      </c>
      <c r="L51" s="1734">
        <f t="shared" si="217"/>
        <v>0</v>
      </c>
      <c r="M51" s="1734">
        <f t="shared" si="217"/>
        <v>0</v>
      </c>
      <c r="N51" s="1734">
        <f t="shared" si="217"/>
        <v>0</v>
      </c>
      <c r="O51" s="1734">
        <f t="shared" si="217"/>
        <v>0</v>
      </c>
      <c r="P51" s="1734">
        <f t="shared" si="217"/>
        <v>0</v>
      </c>
      <c r="Q51" s="1734">
        <f t="shared" si="217"/>
        <v>0</v>
      </c>
      <c r="R51" s="1734">
        <f t="shared" si="217"/>
        <v>0</v>
      </c>
      <c r="S51" s="1747">
        <f t="shared" si="217"/>
        <v>0</v>
      </c>
      <c r="T51" s="1581"/>
      <c r="U51" s="1735"/>
      <c r="V51" s="1733">
        <f t="shared" ref="V51:AG51" si="218">IF(V13&gt;0,(V41*V50*1.5%),0)</f>
        <v>0</v>
      </c>
      <c r="W51" s="1747">
        <f t="shared" si="218"/>
        <v>0</v>
      </c>
      <c r="X51" s="1743">
        <f t="shared" si="218"/>
        <v>0</v>
      </c>
      <c r="Y51" s="1734">
        <f t="shared" si="218"/>
        <v>0</v>
      </c>
      <c r="Z51" s="1734">
        <f t="shared" si="218"/>
        <v>0</v>
      </c>
      <c r="AA51" s="1734">
        <f t="shared" si="218"/>
        <v>0</v>
      </c>
      <c r="AB51" s="1734">
        <f t="shared" si="218"/>
        <v>0</v>
      </c>
      <c r="AC51" s="1734">
        <f t="shared" si="218"/>
        <v>0</v>
      </c>
      <c r="AD51" s="1734">
        <f t="shared" si="218"/>
        <v>0</v>
      </c>
      <c r="AE51" s="1734">
        <f t="shared" si="218"/>
        <v>0</v>
      </c>
      <c r="AF51" s="1734">
        <f t="shared" si="218"/>
        <v>0</v>
      </c>
      <c r="AG51" s="1747">
        <f t="shared" si="218"/>
        <v>0</v>
      </c>
      <c r="AH51" s="1581"/>
      <c r="AI51" s="1735"/>
      <c r="AJ51" s="1733">
        <f t="shared" ref="AJ51:AS51" si="219">IF(AJ13&gt;0,(AJ41*AJ50*1.5%),0)</f>
        <v>0</v>
      </c>
      <c r="AK51" s="1734">
        <f t="shared" si="219"/>
        <v>0</v>
      </c>
      <c r="AL51" s="1734">
        <f t="shared" si="219"/>
        <v>0</v>
      </c>
      <c r="AM51" s="1734">
        <f t="shared" si="219"/>
        <v>0</v>
      </c>
      <c r="AN51" s="1734">
        <f t="shared" si="219"/>
        <v>0</v>
      </c>
      <c r="AO51" s="1734">
        <f t="shared" si="219"/>
        <v>0</v>
      </c>
      <c r="AP51" s="1734">
        <f t="shared" si="219"/>
        <v>0</v>
      </c>
      <c r="AQ51" s="1734">
        <f t="shared" si="219"/>
        <v>0</v>
      </c>
      <c r="AR51" s="1734">
        <f t="shared" si="219"/>
        <v>0</v>
      </c>
      <c r="AS51" s="1747">
        <f t="shared" si="219"/>
        <v>0</v>
      </c>
      <c r="AT51" s="1581"/>
      <c r="AU51" s="1735"/>
      <c r="AV51" s="1733">
        <f t="shared" ref="AV51:BE51" si="220">IF(AV13&gt;0,(AV41*AV50*1.5%),0)</f>
        <v>0</v>
      </c>
      <c r="AW51" s="1734">
        <f t="shared" si="220"/>
        <v>0</v>
      </c>
      <c r="AX51" s="1734">
        <f t="shared" si="220"/>
        <v>0</v>
      </c>
      <c r="AY51" s="1734">
        <f t="shared" si="220"/>
        <v>0</v>
      </c>
      <c r="AZ51" s="1734">
        <f t="shared" si="220"/>
        <v>0</v>
      </c>
      <c r="BA51" s="1734">
        <f t="shared" si="220"/>
        <v>0</v>
      </c>
      <c r="BB51" s="1734">
        <f t="shared" si="220"/>
        <v>0</v>
      </c>
      <c r="BC51" s="1734">
        <f t="shared" si="220"/>
        <v>0</v>
      </c>
      <c r="BD51" s="1734">
        <f t="shared" si="220"/>
        <v>0</v>
      </c>
      <c r="BE51" s="1789">
        <f t="shared" si="220"/>
        <v>0</v>
      </c>
      <c r="BF51" s="1581"/>
      <c r="BG51" s="1735"/>
      <c r="BH51" s="1733">
        <f>IF(BH13&gt;0,(BH41*BH50*1.5%),0)</f>
        <v>0</v>
      </c>
      <c r="BI51" s="1734">
        <f>IF(BI13&gt;0,(BI41*BI50*1.5%),0)</f>
        <v>0</v>
      </c>
      <c r="BJ51" s="1734">
        <f>IF(BJ13&gt;0,(BJ41*BJ50*1.5%),0)</f>
        <v>0</v>
      </c>
      <c r="BK51" s="1747">
        <f>IF(BK13&gt;0,(BK41*BK50*1.5%),0)</f>
        <v>0</v>
      </c>
      <c r="BL51" s="1581"/>
      <c r="BM51" s="1735"/>
      <c r="BN51" s="1733">
        <f t="shared" ref="BN51:BX51" si="221">IF(BN13&gt;0,(BN41*BN50*1.5%),0)</f>
        <v>0</v>
      </c>
      <c r="BO51" s="1734">
        <f t="shared" si="221"/>
        <v>0</v>
      </c>
      <c r="BP51" s="1734">
        <f t="shared" si="221"/>
        <v>0</v>
      </c>
      <c r="BQ51" s="1734">
        <f t="shared" si="221"/>
        <v>0</v>
      </c>
      <c r="BR51" s="1734">
        <f t="shared" si="221"/>
        <v>0</v>
      </c>
      <c r="BS51" s="1734">
        <f t="shared" si="221"/>
        <v>0</v>
      </c>
      <c r="BT51" s="1734">
        <f t="shared" si="221"/>
        <v>0</v>
      </c>
      <c r="BU51" s="1734">
        <f t="shared" si="221"/>
        <v>0</v>
      </c>
      <c r="BV51" s="1734">
        <f t="shared" si="221"/>
        <v>0</v>
      </c>
      <c r="BW51" s="1734">
        <f t="shared" si="221"/>
        <v>0</v>
      </c>
      <c r="BX51" s="1789">
        <f t="shared" si="221"/>
        <v>0</v>
      </c>
      <c r="BY51" s="1581"/>
      <c r="BZ51" s="1735"/>
      <c r="CA51" s="1733">
        <f>IF(CA13&gt;0,(CA41*CA50*1.5%),0)</f>
        <v>0</v>
      </c>
      <c r="CB51" s="1734">
        <f>IF(CB13&gt;0,(CB41*CB50*1.5%),0)</f>
        <v>0</v>
      </c>
      <c r="CC51" s="1734">
        <f>IF(CC13&gt;0,(CC41*CC50*1.5%),0)</f>
        <v>0</v>
      </c>
      <c r="CD51" s="1734">
        <f>IF(CD13&gt;0,(CD41*CD50*1.5%),0)</f>
        <v>0</v>
      </c>
      <c r="CE51" s="1747">
        <f>IF(CE13&gt;0,(CE41*CE50*1.5%),0)</f>
        <v>0</v>
      </c>
      <c r="CF51" s="1581"/>
      <c r="CG51" s="1735"/>
      <c r="CH51" s="110"/>
    </row>
    <row r="52" spans="1:111" ht="57" customHeight="1">
      <c r="A52" s="2947" t="str">
        <f>'lon undervisning'!A65</f>
        <v>Antal særlige feriedage optjent 2022 som ikke er afholdt i perioden 1. maj 2023 - 30. april 2024 og som udbetales 30. april 2024. Hvis den ansatte har mere end en kolonne, oplyses antal skyldige særlige feriedage i den kolonne der videreføres til 2024. Ved en ansat der fratræder oplyses her antal feriedage og særlige feriedage der afregnes med.</v>
      </c>
      <c r="B52" s="2947"/>
      <c r="C52" s="2227"/>
      <c r="D52" s="1729"/>
      <c r="E52" s="1578"/>
      <c r="F52" s="1726"/>
      <c r="G52" s="1726"/>
      <c r="H52" s="1726"/>
      <c r="I52" s="1726"/>
      <c r="J52" s="1726"/>
      <c r="K52" s="1726"/>
      <c r="L52" s="1726"/>
      <c r="M52" s="1726"/>
      <c r="N52" s="1726"/>
      <c r="O52" s="1726"/>
      <c r="P52" s="1726"/>
      <c r="Q52" s="1726"/>
      <c r="R52" s="1726"/>
      <c r="S52" s="1729"/>
      <c r="T52" s="1581"/>
      <c r="U52" s="1735"/>
      <c r="V52" s="1578"/>
      <c r="W52" s="1729"/>
      <c r="X52" s="1742"/>
      <c r="Y52" s="1726"/>
      <c r="Z52" s="1726"/>
      <c r="AA52" s="1726"/>
      <c r="AB52" s="1726"/>
      <c r="AC52" s="1726"/>
      <c r="AD52" s="1726"/>
      <c r="AE52" s="1726"/>
      <c r="AF52" s="1726"/>
      <c r="AG52" s="1729"/>
      <c r="AH52" s="1581"/>
      <c r="AI52" s="1735"/>
      <c r="AJ52" s="1578"/>
      <c r="AK52" s="1726"/>
      <c r="AL52" s="1726"/>
      <c r="AM52" s="1726"/>
      <c r="AN52" s="1726"/>
      <c r="AO52" s="1726"/>
      <c r="AP52" s="1726"/>
      <c r="AQ52" s="1726"/>
      <c r="AR52" s="1726"/>
      <c r="AS52" s="1729"/>
      <c r="AT52" s="1581"/>
      <c r="AU52" s="1735"/>
      <c r="AV52" s="1578"/>
      <c r="AW52" s="1726"/>
      <c r="AX52" s="1726"/>
      <c r="AY52" s="1726"/>
      <c r="AZ52" s="1726"/>
      <c r="BA52" s="1726"/>
      <c r="BB52" s="1726"/>
      <c r="BC52" s="1726"/>
      <c r="BD52" s="1726"/>
      <c r="BE52" s="1788"/>
      <c r="BF52" s="1581"/>
      <c r="BG52" s="1735"/>
      <c r="BH52" s="1578"/>
      <c r="BI52" s="1726"/>
      <c r="BJ52" s="1726"/>
      <c r="BK52" s="1729"/>
      <c r="BL52" s="1581"/>
      <c r="BM52" s="1735"/>
      <c r="BN52" s="1578"/>
      <c r="BO52" s="1726"/>
      <c r="BP52" s="1726"/>
      <c r="BQ52" s="1726"/>
      <c r="BR52" s="1726"/>
      <c r="BS52" s="1726"/>
      <c r="BT52" s="1726"/>
      <c r="BU52" s="1726"/>
      <c r="BV52" s="1726"/>
      <c r="BW52" s="1726"/>
      <c r="BX52" s="1788"/>
      <c r="BY52" s="1581"/>
      <c r="BZ52" s="1735"/>
      <c r="CA52" s="1578"/>
      <c r="CB52" s="1726"/>
      <c r="CC52" s="1726"/>
      <c r="CD52" s="1726"/>
      <c r="CE52" s="1729"/>
      <c r="CF52" s="1581"/>
      <c r="CG52" s="1735"/>
      <c r="CH52" s="110"/>
    </row>
    <row r="53" spans="1:111" ht="35" customHeight="1" thickBot="1">
      <c r="A53" s="2947" t="str">
        <f>'lon undervisning'!A66</f>
        <v>Særlige feriedage optjent 2022 - udbetalt april 2024 (0,5% pr. skyldig dag) ELLER hvis afregne - skriv antal dage der afregnes med</v>
      </c>
      <c r="B53" s="2947"/>
      <c r="C53" s="2323">
        <f>((C41+C42)*12/C22*SatsBilag!$B$8-((C41+C42)/C22*SatsBilag!$B$8*12/52/5*25))*0.5%*C52</f>
        <v>0</v>
      </c>
      <c r="D53" s="2324">
        <f>((D41+D42)*12/D22*SatsBilag!$B$8-((D41+D42)/D22*SatsBilag!$B$8*12/52/5*25))*0.5%*D52</f>
        <v>0</v>
      </c>
      <c r="E53" s="2325">
        <f>((E41+E42)*12/E22*SatsBilag!$B$8-((E41+E42)/E22*SatsBilag!$B$8*12/52/5*25))*0.5%*E52</f>
        <v>0</v>
      </c>
      <c r="F53" s="1809">
        <f>((F41+F42)*12/F22*SatsBilag!$B$8-((F41+F42)/F22*SatsBilag!$B$8*12/52/5*25))*0.5%*F52</f>
        <v>0</v>
      </c>
      <c r="G53" s="1809">
        <f>((G41+G42)*12/G22*SatsBilag!$B$8-((G41+G42)/G22*SatsBilag!$B$8*12/52/5*25))*0.5%*G52</f>
        <v>0</v>
      </c>
      <c r="H53" s="1809">
        <f>((H41+H42)*12/H22*SatsBilag!$B$8-((H41+H42)/H22*SatsBilag!$B$8*12/52/5*25))*0.5%*H52</f>
        <v>0</v>
      </c>
      <c r="I53" s="1809">
        <f>((I41+I42)*12/I22*SatsBilag!$B$8-((I41+I42)/I22*SatsBilag!$B$8*12/52/5*25))*0.5%*I52</f>
        <v>0</v>
      </c>
      <c r="J53" s="1809">
        <f>((J41+J42)*12/J22*SatsBilag!$B$8-((J41+J42)/J22*SatsBilag!$B$8*12/52/5*25))*0.5%*J52</f>
        <v>0</v>
      </c>
      <c r="K53" s="1809">
        <f>((K41+K42)*12/K22*SatsBilag!$B$8-((K41+K42)/K22*SatsBilag!$B$8*12/52/5*25))*0.5%*K52</f>
        <v>0</v>
      </c>
      <c r="L53" s="1809">
        <f>((L41+L42)*12/L22*SatsBilag!$B$8-((L41+L42)/L22*SatsBilag!$B$8*12/52/5*25))*0.5%*L52</f>
        <v>0</v>
      </c>
      <c r="M53" s="1809">
        <f>((M41+M42)*12/M22*SatsBilag!$B$8-((M41+M42)/M22*SatsBilag!$B$8*12/52/5*25))*0.5%*M52</f>
        <v>0</v>
      </c>
      <c r="N53" s="1809">
        <f>((N41+N42)*12/N22*SatsBilag!$B$8-((N41+N42)/N22*SatsBilag!$B$8*12/52/5*25))*0.5%*N52</f>
        <v>0</v>
      </c>
      <c r="O53" s="1809">
        <f>((O41+O42)*12/O22*SatsBilag!$B$8-((O41+O42)/O22*SatsBilag!$B$8*12/52/5*25))*0.5%*O52</f>
        <v>0</v>
      </c>
      <c r="P53" s="1809">
        <f>((P41+P42)*12/P22*SatsBilag!$B$8-((P41+P42)/P22*SatsBilag!$B$8*12/52/5*25))*0.5%*P52</f>
        <v>0</v>
      </c>
      <c r="Q53" s="1809">
        <f>((Q41+Q42)*12/Q22*SatsBilag!$B$8-((Q41+Q42)/Q22*SatsBilag!$B$8*12/52/5*25))*0.5%*Q52</f>
        <v>0</v>
      </c>
      <c r="R53" s="1809">
        <f>((R41+R42)*12/R22*SatsBilag!$B$8-((R41+R42)/R22*SatsBilag!$B$8*12/52/5*25))*0.5%*R52</f>
        <v>0</v>
      </c>
      <c r="S53" s="2324">
        <f>((S41+S42)*12/S22*SatsBilag!$B$8-((S41+S42)/S22*SatsBilag!$B$8*12/52/5*25))*0.5%*S52</f>
        <v>0</v>
      </c>
      <c r="T53" s="2326"/>
      <c r="U53" s="2327"/>
      <c r="V53" s="2325">
        <f>((V41+V42)*12/V22*SatsBilag!$B$8-((V41+V42)/V22*SatsBilag!$B$8*12/52/5*25))*0.5%*V52</f>
        <v>0</v>
      </c>
      <c r="W53" s="2324">
        <f>((W41+W42)*12/W22*SatsBilag!$B$8-((W41+W42)/W22*SatsBilag!$B$8*12/52/5*25))*0.5%*W52</f>
        <v>0</v>
      </c>
      <c r="X53" s="2323">
        <f>((X41+X42)*12/X22*SatsBilag!$B$8-((X41+X42)/X22*SatsBilag!$B$8*12/52/5*25))*0.5%*X52</f>
        <v>0</v>
      </c>
      <c r="Y53" s="1809">
        <f>((Y41+Y42)*12/Y22*SatsBilag!$B$8-((Y41+Y42)/Y22*SatsBilag!$B$8*12/52/5*25))*0.5%*Y52</f>
        <v>0</v>
      </c>
      <c r="Z53" s="1809">
        <f>((Z41+Z42)*12/Z22*SatsBilag!$B$8-((Z41+Z42)/Z22*SatsBilag!$B$8*12/52/5*25))*0.5%*Z52</f>
        <v>0</v>
      </c>
      <c r="AA53" s="1809">
        <f>((AA41+AA42)*12/AA22*SatsBilag!$B$8-((AA41+AA42)/AA22*SatsBilag!$B$8*12/52/5*25))*0.5%*AA52</f>
        <v>0</v>
      </c>
      <c r="AB53" s="1809">
        <f>((AB41+AB42)*12/AB22*SatsBilag!$B$8-((AB41+AB42)/AB22*SatsBilag!$B$8*12/52/5*25))*0.5%*AB52</f>
        <v>0</v>
      </c>
      <c r="AC53" s="1809">
        <f>((AC41+AC42)*12/AC22*SatsBilag!$B$8-((AC41+AC42)/AC22*SatsBilag!$B$8*12/52/5*25))*0.5%*AC52</f>
        <v>0</v>
      </c>
      <c r="AD53" s="1809">
        <f>((AD41+AD42)*12/AD22*SatsBilag!$B$8-((AD41+AD42)/AD22*SatsBilag!$B$8*12/52/5*25))*0.5%*AD52</f>
        <v>0</v>
      </c>
      <c r="AE53" s="1809">
        <f>((AE41+AE42)*12/AE22*SatsBilag!$B$8-((AE41+AE42)/AE22*SatsBilag!$B$8*12/52/5*25))*0.5%*AE52</f>
        <v>0</v>
      </c>
      <c r="AF53" s="1809">
        <f>((AF41+AF42)*12/AF22*SatsBilag!$B$8-((AF41+AF42)/AF22*SatsBilag!$B$8*12/52/5*25))*0.5%*AF52</f>
        <v>0</v>
      </c>
      <c r="AG53" s="2324">
        <f>((AG41+AG42)*12/AG22*SatsBilag!$B$8-((AG41+AG42)/AG22*SatsBilag!$B$8*12/52/5*25))*0.5%*AG52</f>
        <v>0</v>
      </c>
      <c r="AH53" s="2326"/>
      <c r="AI53" s="2327"/>
      <c r="AJ53" s="2325">
        <f>((AJ41+AJ42)*12/AJ22*SatsBilag!$B$8-((AJ41+AJ42)/AJ22*SatsBilag!$B$8*12/52/5*25))*0.5%*AJ52</f>
        <v>0</v>
      </c>
      <c r="AK53" s="1809">
        <f>((AK41+AK42)*12/AK22*SatsBilag!$B$8-((AK41+AK42)/AK22*SatsBilag!$B$8*12/52/5*25))*0.5%*AK52</f>
        <v>0</v>
      </c>
      <c r="AL53" s="1809">
        <f>((AL41+AL42)*12/AL22*SatsBilag!$B$8-((AL41+AL42)/AL22*SatsBilag!$B$8*12/52/5*25))*0.5%*AL52</f>
        <v>0</v>
      </c>
      <c r="AM53" s="1809">
        <f>((AM41+AM42)*12/AM22*SatsBilag!$B$8-((AM41+AM42)/AM22*SatsBilag!$B$8*12/52/5*25))*0.5%*AM52</f>
        <v>0</v>
      </c>
      <c r="AN53" s="1809">
        <f>((AN41+AN42)*12/AN22*SatsBilag!$B$8-((AN41+AN42)/AN22*SatsBilag!$B$8*12/52/5*25))*0.5%*AN52</f>
        <v>0</v>
      </c>
      <c r="AO53" s="1809">
        <f>((AO41+AO42)*12/AO22*SatsBilag!$B$8-((AO41+AO42)/AO22*SatsBilag!$B$8*12/52/5*25))*0.5%*AO52</f>
        <v>0</v>
      </c>
      <c r="AP53" s="1809">
        <f>((AP41+AP42)*12/AP22*SatsBilag!$B$8-((AP41+AP42)/AP22*SatsBilag!$B$8*12/52/5*25))*0.5%*AP52</f>
        <v>0</v>
      </c>
      <c r="AQ53" s="1809">
        <f>((AQ41+AQ42)*12/AQ22*SatsBilag!$B$8-((AQ41+AQ42)/AQ22*SatsBilag!$B$8*12/52/5*25))*0.5%*AQ52</f>
        <v>0</v>
      </c>
      <c r="AR53" s="1809">
        <f>((AR41+AR42)*12/AR22*SatsBilag!$B$8-((AR41+AR42)/AR22*SatsBilag!$B$8*12/52/5*25))*0.5%*AR52</f>
        <v>0</v>
      </c>
      <c r="AS53" s="2324">
        <f>((AS41+AS42)*12/AS22*SatsBilag!$B$8-((AS41+AS42)/AS22*SatsBilag!$B$8*12/52/5*25))*0.5%*AS52</f>
        <v>0</v>
      </c>
      <c r="AT53" s="2326"/>
      <c r="AU53" s="2327"/>
      <c r="AV53" s="2325">
        <f>((AV41+AV42)*12/AV22*SatsBilag!$B$8-((AV41+AV42)/AV22*SatsBilag!$B$8*12/52/5*25))*0.5%*AV52</f>
        <v>0</v>
      </c>
      <c r="AW53" s="1809">
        <f>((AW41+AW42)*12/AW22*SatsBilag!$B$8-((AW41+AW42)/AW22*SatsBilag!$B$8*12/52/5*25))*0.5%*AW52</f>
        <v>0</v>
      </c>
      <c r="AX53" s="1809">
        <f>((AX41+AX42)*12/AX22*SatsBilag!$B$8-((AX41+AX42)/AX22*SatsBilag!$B$8*12/52/5*25))*0.5%*AX52</f>
        <v>0</v>
      </c>
      <c r="AY53" s="1809">
        <f>((AY41+AY42)*12/AY22*SatsBilag!$B$8-((AY41+AY42)/AY22*SatsBilag!$B$8*12/52/5*25))*0.5%*AY52</f>
        <v>0</v>
      </c>
      <c r="AZ53" s="1809">
        <f>((AZ41+AZ42)*12/AZ22*SatsBilag!$B$8-((AZ41+AZ42)/AZ22*SatsBilag!$B$8*12/52/5*25))*0.5%*AZ52</f>
        <v>0</v>
      </c>
      <c r="BA53" s="1809">
        <f>((BA41+BA42)*12/BA22*SatsBilag!$B$8-((BA41+BA42)/BA22*SatsBilag!$B$8*12/52/5*25))*0.5%*BA52</f>
        <v>0</v>
      </c>
      <c r="BB53" s="1809">
        <f>((BB41+BB42)*12/BB22*SatsBilag!$B$8-((BB41+BB42)/BB22*SatsBilag!$B$8*12/52/5*25))*0.5%*BB52</f>
        <v>0</v>
      </c>
      <c r="BC53" s="1809">
        <f>((BC41+BC42)*12/BC22*SatsBilag!$B$8-((BC41+BC42)/BC22*SatsBilag!$B$8*12/52/5*25))*0.5%*BC52</f>
        <v>0</v>
      </c>
      <c r="BD53" s="1809">
        <f>((BD41+BD42)*12/BD22*SatsBilag!$B$8-((BD41+BD42)/BD22*SatsBilag!$B$8*12/52/5*25))*0.5%*BD52</f>
        <v>0</v>
      </c>
      <c r="BE53" s="1808">
        <f>((BE41+BE42)*12/BE22*SatsBilag!$B$8-((BE41+BE42)/BE22*SatsBilag!$B$8*12/52/5*25))*0.5%*BE52</f>
        <v>0</v>
      </c>
      <c r="BF53" s="2326"/>
      <c r="BG53" s="2327"/>
      <c r="BH53" s="2325">
        <f>((BH41+BH42)*12/BH22*SatsBilag!$B$8-((BH41+BH42)/BH22*SatsBilag!$B$8*12/52/5*25))*0.5%*BH52</f>
        <v>0</v>
      </c>
      <c r="BI53" s="1809">
        <f>((BI41+BI42)*12/BI22*SatsBilag!$B$8-((BI41+BI42)/BI22*SatsBilag!$B$8*12/52/5*25))*0.5%*BI52</f>
        <v>0</v>
      </c>
      <c r="BJ53" s="1809">
        <f>((BJ41+BJ42)*12/BJ22*SatsBilag!$B$8-((BJ41+BJ42)/BJ22*SatsBilag!$B$8*12/52/5*25))*0.5%*BJ52</f>
        <v>0</v>
      </c>
      <c r="BK53" s="2324">
        <f>((BK41+BK42)*12/BK22*SatsBilag!$B$8-((BK41+BK42)/BK22*SatsBilag!$B$8*12/52/5*25))*0.5%*BK52</f>
        <v>0</v>
      </c>
      <c r="BL53" s="2326"/>
      <c r="BM53" s="2327"/>
      <c r="BN53" s="2325">
        <f>((BN41+BN42)*12/BN22*SatsBilag!$B$8-((BN41+BN42)/BN22*SatsBilag!$B$8*12/52/5*25))*0.5%*BN52</f>
        <v>0</v>
      </c>
      <c r="BO53" s="1809">
        <f>((BO41+BO42)*12/BO22*SatsBilag!$B$8-((BO41+BO42)/BO22*SatsBilag!$B$8*12/52/5*25))*0.5%*BO52</f>
        <v>0</v>
      </c>
      <c r="BP53" s="1809">
        <f>((BP41+BP42)*12/BP22*SatsBilag!$B$8-((BP41+BP42)/BP22*SatsBilag!$B$8*12/52/5*25))*0.5%*BP52</f>
        <v>0</v>
      </c>
      <c r="BQ53" s="1809">
        <f>((BQ41+BQ42)*12/BQ22*SatsBilag!$B$8-((BQ41+BQ42)/BQ22*SatsBilag!$B$8*12/52/5*25))*0.5%*BQ52</f>
        <v>0</v>
      </c>
      <c r="BR53" s="1809">
        <f>((BR41+BR42)*12/BR22*SatsBilag!$B$8-((BR41+BR42)/BR22*SatsBilag!$B$8*12/52/5*25))*0.5%*BR52</f>
        <v>0</v>
      </c>
      <c r="BS53" s="1809">
        <f>((BS41+BS42)*12/BS22*SatsBilag!$B$8-((BS41+BS42)/BS22*SatsBilag!$B$8*12/52/5*25))*0.5%*BS52</f>
        <v>0</v>
      </c>
      <c r="BT53" s="1809">
        <f>((BT41+BT42)*12/BT22*SatsBilag!$B$8-((BT41+BT42)/BT22*SatsBilag!$B$8*12/52/5*25))*0.5%*BT52</f>
        <v>0</v>
      </c>
      <c r="BU53" s="1809">
        <f>((BU41+BU42)*12/BU22*SatsBilag!$B$8-((BU41+BU42)/BU22*SatsBilag!$B$8*12/52/5*25))*0.5%*BU52</f>
        <v>0</v>
      </c>
      <c r="BV53" s="1809">
        <f>((BV41+BV42)*12/BV22*SatsBilag!$B$8-((BV41+BV42)/BV22*SatsBilag!$B$8*12/52/5*25))*0.5%*BV52</f>
        <v>0</v>
      </c>
      <c r="BW53" s="1809">
        <f>((BW41+BW42)*12/BW22*SatsBilag!$B$8-((BW41+BW42)/BW22*SatsBilag!$B$8*12/52/5*25))*0.5%*BW52</f>
        <v>0</v>
      </c>
      <c r="BX53" s="1808">
        <f>((BX41+BX42)*12/BX22*SatsBilag!$B$8-((BX41+BX42)/BX22*SatsBilag!$B$8*12/52/5*25))*0.5%*BX52</f>
        <v>0</v>
      </c>
      <c r="BY53" s="2326"/>
      <c r="BZ53" s="2327"/>
      <c r="CA53" s="2325">
        <f>((CA41+CA42)*12/CA22*SatsBilag!$B$8-((CA41+CA42)/CA22*SatsBilag!$B$8*12/52/5*25))*0.5%*CA52</f>
        <v>0</v>
      </c>
      <c r="CB53" s="1809">
        <f>((CB41+CB42)*12/CB22*SatsBilag!$B$8-((CB41+CB42)/CB22*SatsBilag!$B$8*12/52/5*25))*0.5%*CB52</f>
        <v>0</v>
      </c>
      <c r="CC53" s="1809">
        <f>((CC41+CC42)*12/CC22*SatsBilag!$B$8-((CC41+CC42)/CC22*SatsBilag!$B$8*12/52/5*25))*0.5%*CC52</f>
        <v>0</v>
      </c>
      <c r="CD53" s="1809">
        <f>((CD41+CD42)*12/CD22*SatsBilag!$B$8-((CD41+CD42)/CD22*SatsBilag!$B$8*12/52/5*25))*0.5%*CD52</f>
        <v>0</v>
      </c>
      <c r="CE53" s="2324">
        <f>((CE41+CE42)*12/CE22*SatsBilag!$B$8-((CE41+CE42)/CE22*SatsBilag!$B$8*12/52/5*25))*0.5%*CE52</f>
        <v>0</v>
      </c>
      <c r="CF53" s="2326"/>
      <c r="CG53" s="2327"/>
      <c r="CH53" s="110"/>
    </row>
    <row r="54" spans="1:111" ht="25" customHeight="1" thickBot="1">
      <c r="A54" s="2942" t="str">
        <f>"Skolens lønudgifter budget år "&amp;budgetår</f>
        <v>Skolens lønudgifter budget år 2024</v>
      </c>
      <c r="B54" s="2946"/>
      <c r="C54" s="1810">
        <f t="shared" ref="C54:D54" si="222">IF(C16="orlov",C45*C13+C53+C51+C48+C59+C49-IF(C21="nej",C45/3*C13),(C47*C13)+C53+C51+C48+C49+(C59*C13))</f>
        <v>0</v>
      </c>
      <c r="D54" s="1810">
        <f t="shared" si="222"/>
        <v>0</v>
      </c>
      <c r="E54" s="1810">
        <f>IF(E16="orlov",(E45+E59)*E13+E53+E51+E48+E49-IF(E21="nej",E45/3*E13),(E47*E13)+E53+E51+E48+E49+(E59*E13))</f>
        <v>0</v>
      </c>
      <c r="F54" s="1810">
        <f>IF(F16="orlov",(F45+F59)*F13+F53+F51+F48+F49-IF(F21="nej",F45/3*F13),(F47*F13)+F53+F51+F48+F49+(F59*F13))</f>
        <v>0</v>
      </c>
      <c r="G54" s="1810">
        <f>IF(G16="orlov",(G45+G59)*G13+G53+G51+G48+G49-IF(G21="nej",G45/3*G13),(G47*G13)+G53+G51+G48+G49+(G59*G13))</f>
        <v>0</v>
      </c>
      <c r="H54" s="1810">
        <f t="shared" ref="H54" si="223">IF(H16="orlov",H45*H13+H53+H51+H48+H59+H49-IF(H21="nej",H45/3*H13),(H47*H13)+H53+H51+H48+H49+(H59*H13))</f>
        <v>0</v>
      </c>
      <c r="I54" s="1810">
        <f t="shared" ref="I54" si="224">IF(I16="orlov",I45*I13+I53+I51+I48+I59+I49-IF(I21="nej",I45/3*I13),(I47*I13)+I53+I51+I48+I49+(I59*I13))</f>
        <v>0</v>
      </c>
      <c r="J54" s="1810">
        <f t="shared" ref="J54" si="225">IF(J16="orlov",J45*J13+J53+J51+J48+J59+J49-IF(J21="nej",J45/3*J13),(J47*J13)+J53+J51+J48+J49+(J59*J13))</f>
        <v>0</v>
      </c>
      <c r="K54" s="1810">
        <f t="shared" ref="K54" si="226">IF(K16="orlov",K45*K13+K53+K51+K48+K59+K49-IF(K21="nej",K45/3*K13),(K47*K13)+K53+K51+K48+K49+(K59*K13))</f>
        <v>0</v>
      </c>
      <c r="L54" s="1810">
        <f t="shared" ref="L54" si="227">IF(L16="orlov",L45*L13+L53+L51+L48+L59+L49-IF(L21="nej",L45/3*L13),(L47*L13)+L53+L51+L48+L49+(L59*L13))</f>
        <v>0</v>
      </c>
      <c r="M54" s="1810">
        <f t="shared" ref="M54" si="228">IF(M16="orlov",M45*M13+M53+M51+M48+M59+M49-IF(M21="nej",M45/3*M13),(M47*M13)+M53+M51+M48+M49+(M59*M13))</f>
        <v>0</v>
      </c>
      <c r="N54" s="1810">
        <f t="shared" ref="N54" si="229">IF(N16="orlov",N45*N13+N53+N51+N48+N59+N49-IF(N21="nej",N45/3*N13),(N47*N13)+N53+N51+N48+N49+(N59*N13))</f>
        <v>0</v>
      </c>
      <c r="O54" s="1810">
        <f t="shared" ref="O54" si="230">IF(O16="orlov",O45*O13+O53+O51+O48+O59+O49-IF(O21="nej",O45/3*O13),(O47*O13)+O53+O51+O48+O49+(O59*O13))</f>
        <v>0</v>
      </c>
      <c r="P54" s="1810">
        <f t="shared" ref="P54" si="231">IF(P16="orlov",P45*P13+P53+P51+P48+P59+P49-IF(P21="nej",P45/3*P13),(P47*P13)+P53+P51+P48+P49+(P59*P13))</f>
        <v>0</v>
      </c>
      <c r="Q54" s="1810">
        <f t="shared" ref="Q54" si="232">IF(Q16="orlov",Q45*Q13+Q53+Q51+Q48+Q59+Q49-IF(Q21="nej",Q45/3*Q13),(Q47*Q13)+Q53+Q51+Q48+Q49+(Q59*Q13))</f>
        <v>0</v>
      </c>
      <c r="R54" s="1810">
        <f t="shared" ref="R54" si="233">IF(R16="orlov",R45*R13+R53+R51+R48+R59+R49-IF(R21="nej",R45/3*R13),(R47*R13)+R53+R51+R48+R49+(R59*R13))</f>
        <v>0</v>
      </c>
      <c r="S54" s="1810">
        <f t="shared" ref="S54" si="234">IF(S16="orlov",S45*S13+S53+S51+S48+S59+S49-IF(S21="nej",S45/3*S13),(S47*S13)+S53+S51+S48+S49+(S59*S13))</f>
        <v>0</v>
      </c>
      <c r="T54" s="2328">
        <f>IF(T16="orlov",T45*T13+T53,T47*T13+T53)</f>
        <v>0</v>
      </c>
      <c r="U54" s="2328">
        <f>IF(U16="orlov",U45*U13+U53,U47*U13+U53)</f>
        <v>0</v>
      </c>
      <c r="V54" s="1810">
        <f t="shared" ref="V54" si="235">IF(V16="orlov",V45*V13+V53+V51+V48+V59+V49-IF(V21="nej",V45/3*V13),(V47*V13)+V53+V51+V48+V49+(V59*V13))</f>
        <v>0</v>
      </c>
      <c r="W54" s="1810">
        <f t="shared" ref="W54" si="236">IF(W16="orlov",W45*W13+W53+W51+W48+W59+W49-IF(W21="nej",W45/3*W13),(W47*W13)+W53+W51+W48+W49+(W59*W13))</f>
        <v>0</v>
      </c>
      <c r="X54" s="1810">
        <f t="shared" ref="X54" si="237">IF(X16="orlov",X45*X13+X53+X51+X48+X59+X49-IF(X21="nej",X45/3*X13),(X47*X13)+X53+X51+X48+X49+(X59*X13))</f>
        <v>0</v>
      </c>
      <c r="Y54" s="1810">
        <f t="shared" ref="Y54" si="238">IF(Y16="orlov",Y45*Y13+Y53+Y51+Y48+Y59+Y49-IF(Y21="nej",Y45/3*Y13),(Y47*Y13)+Y53+Y51+Y48+Y49+(Y59*Y13))</f>
        <v>0</v>
      </c>
      <c r="Z54" s="1810">
        <f t="shared" ref="Z54" si="239">IF(Z16="orlov",Z45*Z13+Z53+Z51+Z48+Z59+Z49-IF(Z21="nej",Z45/3*Z13),(Z47*Z13)+Z53+Z51+Z48+Z49+(Z59*Z13))</f>
        <v>0</v>
      </c>
      <c r="AA54" s="1810">
        <f t="shared" ref="AA54" si="240">IF(AA16="orlov",AA45*AA13+AA53+AA51+AA48+AA59+AA49-IF(AA21="nej",AA45/3*AA13),(AA47*AA13)+AA53+AA51+AA48+AA49+(AA59*AA13))</f>
        <v>0</v>
      </c>
      <c r="AB54" s="1810">
        <f t="shared" ref="AB54" si="241">IF(AB16="orlov",AB45*AB13+AB53+AB51+AB48+AB59+AB49-IF(AB21="nej",AB45/3*AB13),(AB47*AB13)+AB53+AB51+AB48+AB49+(AB59*AB13))</f>
        <v>0</v>
      </c>
      <c r="AC54" s="1810">
        <f t="shared" ref="AC54" si="242">IF(AC16="orlov",AC45*AC13+AC53+AC51+AC48+AC59+AC49-IF(AC21="nej",AC45/3*AC13),(AC47*AC13)+AC53+AC51+AC48+AC49+(AC59*AC13))</f>
        <v>0</v>
      </c>
      <c r="AD54" s="1810">
        <f t="shared" ref="AD54" si="243">IF(AD16="orlov",AD45*AD13+AD53+AD51+AD48+AD59+AD49-IF(AD21="nej",AD45/3*AD13),(AD47*AD13)+AD53+AD51+AD48+AD49+(AD59*AD13))</f>
        <v>0</v>
      </c>
      <c r="AE54" s="1810">
        <f t="shared" ref="AE54" si="244">IF(AE16="orlov",AE45*AE13+AE53+AE51+AE48+AE59+AE49-IF(AE21="nej",AE45/3*AE13),(AE47*AE13)+AE53+AE51+AE48+AE49+(AE59*AE13))</f>
        <v>0</v>
      </c>
      <c r="AF54" s="1810">
        <f t="shared" ref="AF54" si="245">IF(AF16="orlov",AF45*AF13+AF53+AF51+AF48+AF59+AF49-IF(AF21="nej",AF45/3*AF13),(AF47*AF13)+AF53+AF51+AF48+AF49+(AF59*AF13))</f>
        <v>0</v>
      </c>
      <c r="AG54" s="1810">
        <f t="shared" ref="AG54" si="246">IF(AG16="orlov",AG45*AG13+AG53+AG51+AG48+AG59+AG49-IF(AG21="nej",AG45/3*AG13),(AG47*AG13)+AG53+AG51+AG48+AG49+(AG59*AG13))</f>
        <v>0</v>
      </c>
      <c r="AH54" s="2329">
        <f>IF(AH16="orlov",AH45*AH13+AH53,AH47*AH13+AH53)</f>
        <v>0</v>
      </c>
      <c r="AI54" s="2329">
        <f>IF(AI16="orlov",AI45*AI13+AI53,AI47*AI13+AI53)</f>
        <v>0</v>
      </c>
      <c r="AJ54" s="1810">
        <f t="shared" ref="AJ54" si="247">IF(AJ16="orlov",AJ45*AJ13+AJ53+AJ51+AJ48+AJ59+AJ49-IF(AJ21="nej",AJ45/3*AJ13),(AJ47*AJ13)+AJ53+AJ51+AJ48+AJ49+(AJ59*AJ13))</f>
        <v>0</v>
      </c>
      <c r="AK54" s="1810">
        <f t="shared" ref="AK54" si="248">IF(AK16="orlov",AK45*AK13+AK53+AK51+AK48+AK59+AK49-IF(AK21="nej",AK45/3*AK13),(AK47*AK13)+AK53+AK51+AK48+AK49+(AK59*AK13))</f>
        <v>0</v>
      </c>
      <c r="AL54" s="1810">
        <f t="shared" ref="AL54" si="249">IF(AL16="orlov",AL45*AL13+AL53+AL51+AL48+AL59+AL49-IF(AL21="nej",AL45/3*AL13),(AL47*AL13)+AL53+AL51+AL48+AL49+(AL59*AL13))</f>
        <v>0</v>
      </c>
      <c r="AM54" s="1810">
        <f t="shared" ref="AM54" si="250">IF(AM16="orlov",AM45*AM13+AM53+AM51+AM48+AM59+AM49-IF(AM21="nej",AM45/3*AM13),(AM47*AM13)+AM53+AM51+AM48+AM49+(AM59*AM13))</f>
        <v>0</v>
      </c>
      <c r="AN54" s="1810">
        <f t="shared" ref="AN54" si="251">IF(AN16="orlov",AN45*AN13+AN53+AN51+AN48+AN59+AN49-IF(AN21="nej",AN45/3*AN13),(AN47*AN13)+AN53+AN51+AN48+AN49+(AN59*AN13))</f>
        <v>0</v>
      </c>
      <c r="AO54" s="1810">
        <f t="shared" ref="AO54" si="252">IF(AO16="orlov",AO45*AO13+AO53+AO51+AO48+AO59+AO49-IF(AO21="nej",AO45/3*AO13),(AO47*AO13)+AO53+AO51+AO48+AO49+(AO59*AO13))</f>
        <v>0</v>
      </c>
      <c r="AP54" s="1810">
        <f t="shared" ref="AP54" si="253">IF(AP16="orlov",AP45*AP13+AP53+AP51+AP48+AP59+AP49-IF(AP21="nej",AP45/3*AP13),(AP47*AP13)+AP53+AP51+AP48+AP49+(AP59*AP13))</f>
        <v>0</v>
      </c>
      <c r="AQ54" s="1810">
        <f t="shared" ref="AQ54" si="254">IF(AQ16="orlov",AQ45*AQ13+AQ53+AQ51+AQ48+AQ59+AQ49-IF(AQ21="nej",AQ45/3*AQ13),(AQ47*AQ13)+AQ53+AQ51+AQ48+AQ49+(AQ59*AQ13))</f>
        <v>0</v>
      </c>
      <c r="AR54" s="1810">
        <f t="shared" ref="AR54" si="255">IF(AR16="orlov",AR45*AR13+AR53+AR51+AR48+AR59+AR49-IF(AR21="nej",AR45/3*AR13),(AR47*AR13)+AR53+AR51+AR48+AR49+(AR59*AR13))</f>
        <v>0</v>
      </c>
      <c r="AS54" s="1810">
        <f t="shared" ref="AS54" si="256">IF(AS16="orlov",AS45*AS13+AS53+AS51+AS48+AS59+AS49-IF(AS21="nej",AS45/3*AS13),(AS47*AS13)+AS53+AS51+AS48+AS49+(AS59*AS13))</f>
        <v>0</v>
      </c>
      <c r="AT54" s="2328">
        <f>IF(AT16="orlov",AT45*AT13+AT53,AT47*AT13+AT53)</f>
        <v>0</v>
      </c>
      <c r="AU54" s="2328">
        <f>IF(AU16="orlov",AU45*AU13+AU53,AU47*AU13+AU53)</f>
        <v>0</v>
      </c>
      <c r="AV54" s="1810">
        <f t="shared" ref="AV54" si="257">IF(AV16="orlov",AV45*AV13+AV53+AV51+AV48+AV59+AV49-IF(AV21="nej",AV45/3*AV13),(AV47*AV13)+AV53+AV51+AV48+AV49+(AV59*AV13))</f>
        <v>0</v>
      </c>
      <c r="AW54" s="1810">
        <f t="shared" ref="AW54" si="258">IF(AW16="orlov",AW45*AW13+AW53+AW51+AW48+AW59+AW49-IF(AW21="nej",AW45/3*AW13),(AW47*AW13)+AW53+AW51+AW48+AW49+(AW59*AW13))</f>
        <v>0</v>
      </c>
      <c r="AX54" s="1810">
        <f t="shared" ref="AX54" si="259">IF(AX16="orlov",AX45*AX13+AX53+AX51+AX48+AX59+AX49-IF(AX21="nej",AX45/3*AX13),(AX47*AX13)+AX53+AX51+AX48+AX49+(AX59*AX13))</f>
        <v>0</v>
      </c>
      <c r="AY54" s="1810">
        <f t="shared" ref="AY54" si="260">IF(AY16="orlov",AY45*AY13+AY53+AY51+AY48+AY59+AY49-IF(AY21="nej",AY45/3*AY13),(AY47*AY13)+AY53+AY51+AY48+AY49+(AY59*AY13))</f>
        <v>0</v>
      </c>
      <c r="AZ54" s="1810">
        <f t="shared" ref="AZ54" si="261">IF(AZ16="orlov",AZ45*AZ13+AZ53+AZ51+AZ48+AZ59+AZ49-IF(AZ21="nej",AZ45/3*AZ13),(AZ47*AZ13)+AZ53+AZ51+AZ48+AZ49+(AZ59*AZ13))</f>
        <v>0</v>
      </c>
      <c r="BA54" s="1810">
        <f t="shared" ref="BA54" si="262">IF(BA16="orlov",BA45*BA13+BA53+BA51+BA48+BA59+BA49-IF(BA21="nej",BA45/3*BA13),(BA47*BA13)+BA53+BA51+BA48+BA49+(BA59*BA13))</f>
        <v>0</v>
      </c>
      <c r="BB54" s="1810">
        <f t="shared" ref="BB54" si="263">IF(BB16="orlov",BB45*BB13+BB53+BB51+BB48+BB59+BB49-IF(BB21="nej",BB45/3*BB13),(BB47*BB13)+BB53+BB51+BB48+BB49+(BB59*BB13))</f>
        <v>0</v>
      </c>
      <c r="BC54" s="1810">
        <f t="shared" ref="BC54" si="264">IF(BC16="orlov",BC45*BC13+BC53+BC51+BC48+BC59+BC49-IF(BC21="nej",BC45/3*BC13),(BC47*BC13)+BC53+BC51+BC48+BC49+(BC59*BC13))</f>
        <v>0</v>
      </c>
      <c r="BD54" s="1810">
        <f t="shared" ref="BD54" si="265">IF(BD16="orlov",BD45*BD13+BD53+BD51+BD48+BD59+BD49-IF(BD21="nej",BD45/3*BD13),(BD47*BD13)+BD53+BD51+BD48+BD49+(BD59*BD13))</f>
        <v>0</v>
      </c>
      <c r="BE54" s="1810">
        <f t="shared" ref="BE54" si="266">IF(BE16="orlov",BE45*BE13+BE53+BE51+BE48+BE59+BE49-IF(BE21="nej",BE45/3*BE13),(BE47*BE13)+BE53+BE51+BE48+BE49+(BE59*BE13))</f>
        <v>0</v>
      </c>
      <c r="BF54" s="1810">
        <f>IF(BF16="orlov",BF45*BF13+BF53,BF47*BF13+BF53)</f>
        <v>0</v>
      </c>
      <c r="BG54" s="1810">
        <f>IF(BG16="orlov",BG45*BG13+#REF!+BG53,BG47*BG13+BG53)</f>
        <v>0</v>
      </c>
      <c r="BH54" s="1810">
        <f t="shared" ref="BH54" si="267">IF(BH16="orlov",BH45*BH13+BH53+BH51+BH48+BH59+BH49-IF(BH21="nej",BH45/3*BH13),(BH47*BH13)+BH53+BH51+BH48+BH49+(BH59*BH13))</f>
        <v>0</v>
      </c>
      <c r="BI54" s="1810">
        <f t="shared" ref="BI54" si="268">IF(BI16="orlov",BI45*BI13+BI53+BI51+BI48+BI59+BI49-IF(BI21="nej",BI45/3*BI13),(BI47*BI13)+BI53+BI51+BI48+BI49+(BI59*BI13))</f>
        <v>0</v>
      </c>
      <c r="BJ54" s="1810">
        <f t="shared" ref="BJ54" si="269">IF(BJ16="orlov",BJ45*BJ13+BJ53+BJ51+BJ48+BJ59+BJ49-IF(BJ21="nej",BJ45/3*BJ13),(BJ47*BJ13)+BJ53+BJ51+BJ48+BJ49+(BJ59*BJ13))</f>
        <v>0</v>
      </c>
      <c r="BK54" s="1810">
        <f t="shared" ref="BK54" si="270">IF(BK16="orlov",BK45*BK13+BK53+BK51+BK48+BK59+BK49-IF(BK21="nej",BK45/3*BK13),(BK47*BK13)+BK53+BK51+BK48+BK49+(BK59*BK13))</f>
        <v>0</v>
      </c>
      <c r="BL54" s="2329">
        <f>IF(BL16="orlov",BL45*BL13+BL53,BL47*BL13+BL53)</f>
        <v>0</v>
      </c>
      <c r="BM54" s="2329">
        <f>IF(BM16="orlov",BM45*BM13+BM53,BM47*BM13+BM53)</f>
        <v>0</v>
      </c>
      <c r="BN54" s="1810">
        <f t="shared" ref="BN54" si="271">IF(BN16="orlov",BN45*BN13+BN53+BN51+BN48+BN59+BN49-IF(BN21="nej",BN45/3*BN13),(BN47*BN13)+BN53+BN51+BN48+BN49+(BN59*BN13))</f>
        <v>0</v>
      </c>
      <c r="BO54" s="1810">
        <f t="shared" ref="BO54" si="272">IF(BO16="orlov",BO45*BO13+BO53+BO51+BO48+BO59+BO49-IF(BO21="nej",BO45/3*BO13),(BO47*BO13)+BO53+BO51+BO48+BO49+(BO59*BO13))</f>
        <v>0</v>
      </c>
      <c r="BP54" s="1810">
        <f t="shared" ref="BP54" si="273">IF(BP16="orlov",BP45*BP13+BP53+BP51+BP48+BP59+BP49-IF(BP21="nej",BP45/3*BP13),(BP47*BP13)+BP53+BP51+BP48+BP49+(BP59*BP13))</f>
        <v>0</v>
      </c>
      <c r="BQ54" s="1810">
        <f t="shared" ref="BQ54" si="274">IF(BQ16="orlov",BQ45*BQ13+BQ53+BQ51+BQ48+BQ59+BQ49-IF(BQ21="nej",BQ45/3*BQ13),(BQ47*BQ13)+BQ53+BQ51+BQ48+BQ49+(BQ59*BQ13))</f>
        <v>0</v>
      </c>
      <c r="BR54" s="1810">
        <f t="shared" ref="BR54" si="275">IF(BR16="orlov",BR45*BR13+BR53+BR51+BR48+BR59+BR49-IF(BR21="nej",BR45/3*BR13),(BR47*BR13)+BR53+BR51+BR48+BR49+(BR59*BR13))</f>
        <v>0</v>
      </c>
      <c r="BS54" s="1810">
        <f t="shared" ref="BS54" si="276">IF(BS16="orlov",BS45*BS13+BS53+BS51+BS48+BS59+BS49-IF(BS21="nej",BS45/3*BS13),(BS47*BS13)+BS53+BS51+BS48+BS49+(BS59*BS13))</f>
        <v>0</v>
      </c>
      <c r="BT54" s="1810">
        <f t="shared" ref="BT54" si="277">IF(BT16="orlov",BT45*BT13+BT53+BT51+BT48+BT59+BT49-IF(BT21="nej",BT45/3*BT13),(BT47*BT13)+BT53+BT51+BT48+BT49+(BT59*BT13))</f>
        <v>0</v>
      </c>
      <c r="BU54" s="1810">
        <f t="shared" ref="BU54" si="278">IF(BU16="orlov",BU45*BU13+BU53+BU51+BU48+BU59+BU49-IF(BU21="nej",BU45/3*BU13),(BU47*BU13)+BU53+BU51+BU48+BU49+(BU59*BU13))</f>
        <v>0</v>
      </c>
      <c r="BV54" s="1810">
        <f t="shared" ref="BV54" si="279">IF(BV16="orlov",BV45*BV13+BV53+BV51+BV48+BV59+BV49-IF(BV21="nej",BV45/3*BV13),(BV47*BV13)+BV53+BV51+BV48+BV49+(BV59*BV13))</f>
        <v>0</v>
      </c>
      <c r="BW54" s="1810">
        <f t="shared" ref="BW54" si="280">IF(BW16="orlov",BW45*BW13+BW53+BW51+BW48+BW59+BW49-IF(BW21="nej",BW45/3*BW13),(BW47*BW13)+BW53+BW51+BW48+BW49+(BW59*BW13))</f>
        <v>0</v>
      </c>
      <c r="BX54" s="1810">
        <f t="shared" ref="BX54" si="281">IF(BX16="orlov",BX45*BX13+BX53+BX51+BX48+BX59+BX49-IF(BX21="nej",BX45/3*BX13),(BX47*BX13)+BX53+BX51+BX48+BX49+(BX59*BX13))</f>
        <v>0</v>
      </c>
      <c r="BY54" s="2328">
        <f>IF(BY16="orlov",BY45*BY13+BY53,BY47*BY13+BY53)</f>
        <v>0</v>
      </c>
      <c r="BZ54" s="2328">
        <f>IF(BZ16="orlov",BZ45*BZ13+BZ53,BZ47*BZ13+BZ53)</f>
        <v>0</v>
      </c>
      <c r="CA54" s="1810">
        <f t="shared" ref="CA54" si="282">IF(CA16="orlov",CA45*CA13+CA53+CA51+CA48+CA59+CA49-IF(CA21="nej",CA45/3*CA13),(CA47*CA13)+CA53+CA51+CA48+CA49+(CA59*CA13))</f>
        <v>0</v>
      </c>
      <c r="CB54" s="1810">
        <f t="shared" ref="CB54" si="283">IF(CB16="orlov",CB45*CB13+CB53+CB51+CB48+CB59+CB49-IF(CB21="nej",CB45/3*CB13),(CB47*CB13)+CB53+CB51+CB48+CB49+(CB59*CB13))</f>
        <v>0</v>
      </c>
      <c r="CC54" s="1810">
        <f t="shared" ref="CC54" si="284">IF(CC16="orlov",CC45*CC13+CC53+CC51+CC48+CC59+CC49-IF(CC21="nej",CC45/3*CC13),(CC47*CC13)+CC53+CC51+CC48+CC49+(CC59*CC13))</f>
        <v>0</v>
      </c>
      <c r="CD54" s="1810">
        <f t="shared" ref="CD54" si="285">IF(CD16="orlov",CD45*CD13+CD53+CD51+CD48+CD59+CD49-IF(CD21="nej",CD45/3*CD13),(CD47*CD13)+CD53+CD51+CD48+CD49+(CD59*CD13))</f>
        <v>0</v>
      </c>
      <c r="CE54" s="1810">
        <f t="shared" ref="CE54" si="286">IF(CE16="orlov",CE45*CE13+CE53+CE51+CE48+CE59+CE49-IF(CE21="nej",CE45/3*CE13),(CE47*CE13)+CE53+CE51+CE48+CE49+(CE59*CE13))</f>
        <v>0</v>
      </c>
      <c r="CF54" s="2328">
        <f>IF(CF16="orlov",CF45*CF13+CF53,CF47*CF13+CF53)</f>
        <v>0</v>
      </c>
      <c r="CG54" s="2330">
        <f>IF(CG16="orlov",CG45*CG13+CG53,CG47*CG13+CG53)</f>
        <v>0</v>
      </c>
    </row>
    <row r="55" spans="1:111" ht="25" customHeight="1" thickBot="1">
      <c r="A55" s="2942" t="str">
        <f>"Skolens lønudgifter anslået år  "&amp;budgetår+1</f>
        <v>Skolens lønudgifter anslået år  2025</v>
      </c>
      <c r="B55" s="2946"/>
      <c r="C55" s="1810">
        <f>IF(AND(C14&gt;0,C16="ORLOV"),(C54*(Lønfremskivning+1)),(((C47+C59)*'Lon pæd., TAP mm'!C14)+C58+IF(C14&gt;0,+C53+C48+C49))*(Lønfremskivning+1))</f>
        <v>0</v>
      </c>
      <c r="D55" s="1810">
        <f>IF(AND(D14&gt;0,D16="ORLOV"),(D54*(Lønfremskivning+1)),(((D47+D59)*'Lon pæd., TAP mm'!D14)+D58+IF(D14&gt;0,+D53+D48+D49))*(Lønfremskivning+1))</f>
        <v>0</v>
      </c>
      <c r="E55" s="1810">
        <f>IF(AND(E14&gt;0,E16="ORLOV"),(E54*(Lønfremskivning+1)),(((E47+E59)*'Lon pæd., TAP mm'!E14)+E58+IF(E14&gt;0,+E53+E48+E49))*(Lønfremskivning+1))</f>
        <v>0</v>
      </c>
      <c r="F55" s="1810">
        <f>IF(AND(F14&gt;0,F16="ORLOV"),(F54*(Lønfremskivning+1)),(((F47+F59)*'Lon pæd., TAP mm'!F14)+F58+IF(F14&gt;0,+F53+F48+F49))*(Lønfremskivning+1))</f>
        <v>0</v>
      </c>
      <c r="G55" s="1810">
        <f>IF(AND(G14&gt;0,G16="ORLOV"),(G54*(Lønfremskivning+1)),(((G47+G59)*'Lon pæd., TAP mm'!G14)+G58+IF(G14&gt;0,+G53+G48+G49))*(Lønfremskivning+1))</f>
        <v>0</v>
      </c>
      <c r="H55" s="1810">
        <f>IF(AND(H14&gt;0,H16="ORLOV"),(H54*(Lønfremskivning+1)),(((H47+H59)*'Lon pæd., TAP mm'!H14)+H58+IF(H14&gt;0,+H53+H48+H49))*(Lønfremskivning+1))</f>
        <v>0</v>
      </c>
      <c r="I55" s="1810">
        <f>IF(AND(I14&gt;0,I16="ORLOV"),(I54*(Lønfremskivning+1)),(((I47+I59)*'Lon pæd., TAP mm'!I14)+I58+IF(I14&gt;0,+I53+I48+I49))*(Lønfremskivning+1))</f>
        <v>0</v>
      </c>
      <c r="J55" s="1810">
        <f>IF(AND(J14&gt;0,J16="ORLOV"),(J54*(Lønfremskivning+1)),(((J47+J59)*'Lon pæd., TAP mm'!J14)+J58+IF(J14&gt;0,+J53+J48+J49))*(Lønfremskivning+1))</f>
        <v>0</v>
      </c>
      <c r="K55" s="1810">
        <f>IF(AND(K14&gt;0,K16="ORLOV"),(K54*(Lønfremskivning+1)),(((K47+K59)*'Lon pæd., TAP mm'!K14)+K58+IF(K14&gt;0,+K53+K48+K49))*(Lønfremskivning+1))</f>
        <v>0</v>
      </c>
      <c r="L55" s="1810">
        <f>IF(AND(L14&gt;0,L16="ORLOV"),(L54*(Lønfremskivning+1)),(((L47+L59)*'Lon pæd., TAP mm'!L14)+L58+IF(L14&gt;0,+L53+L48+L49))*(Lønfremskivning+1))</f>
        <v>0</v>
      </c>
      <c r="M55" s="1810">
        <f>IF(AND(M14&gt;0,M16="ORLOV"),(M54*(Lønfremskivning+1)),(((M47+M59)*'Lon pæd., TAP mm'!M14)+M58+IF(M14&gt;0,+M53+M48+M49))*(Lønfremskivning+1))</f>
        <v>0</v>
      </c>
      <c r="N55" s="1810">
        <f>IF(AND(N14&gt;0,N16="ORLOV"),(N54*(Lønfremskivning+1)),(((N47+N59)*'Lon pæd., TAP mm'!N14)+N58+IF(N14&gt;0,+N53+N48+N49))*(Lønfremskivning+1))</f>
        <v>0</v>
      </c>
      <c r="O55" s="1810">
        <f>IF(AND(O14&gt;0,O16="ORLOV"),(O54*(Lønfremskivning+1)),(((O47+O59)*'Lon pæd., TAP mm'!O14)+O58+IF(O14&gt;0,+O53+O48+O49))*(Lønfremskivning+1))</f>
        <v>0</v>
      </c>
      <c r="P55" s="1810">
        <f>IF(AND(P14&gt;0,P16="ORLOV"),(P54*(Lønfremskivning+1)),(((P47+P59)*'Lon pæd., TAP mm'!P14)+P58+IF(P14&gt;0,+P53+P48+P49))*(Lønfremskivning+1))</f>
        <v>0</v>
      </c>
      <c r="Q55" s="1810">
        <f>IF(AND(Q14&gt;0,Q16="ORLOV"),(Q54*(Lønfremskivning+1)),(((Q47+Q59)*'Lon pæd., TAP mm'!Q14)+Q58+IF(Q14&gt;0,+Q53+Q48+Q49))*(Lønfremskivning+1))</f>
        <v>0</v>
      </c>
      <c r="R55" s="1810">
        <f>IF(AND(R14&gt;0,R16="ORLOV"),(R54*(Lønfremskivning+1)),(((R47+R59)*'Lon pæd., TAP mm'!R14)+R58+IF(R14&gt;0,+R53+R48+R49))*(Lønfremskivning+1))</f>
        <v>0</v>
      </c>
      <c r="S55" s="1810">
        <f>IF(AND(S14&gt;0,S16="ORLOV"),(S54*(Lønfremskivning+1)),(((S47+S59)*'Lon pæd., TAP mm'!S14)+S58+IF(S14&gt;0,+S53+S48+S49))*(Lønfremskivning+1))</f>
        <v>0</v>
      </c>
      <c r="T55" s="2331">
        <f>IF(AND(T14&gt;0,T16="ORLOV"),T45*T14*(Lønfremskivning+1),(T47*'Lon pæd., TAP mm'!T14+T53)*(Lønfremskivning+1))</f>
        <v>0</v>
      </c>
      <c r="U55" s="2331">
        <f>IF(AND(U14&gt;0,U16="ORLOV"),U45*U14*(Lønfremskivning+1),(U47*'Lon pæd., TAP mm'!U14+U53)*(Lønfremskivning+1))</f>
        <v>0</v>
      </c>
      <c r="V55" s="1810">
        <f>IF(AND(V14&gt;0,V16="ORLOV"),(V54*(Lønfremskivning+1)),(((V47+V59)*'Lon pæd., TAP mm'!V14)+V58+IF(V14&gt;0,+V53+V48+V49))*(Lønfremskivning+1))</f>
        <v>0</v>
      </c>
      <c r="W55" s="1810">
        <f>IF(AND(W14&gt;0,W16="ORLOV"),(W54*(Lønfremskivning+1)),(((W47+W59)*'Lon pæd., TAP mm'!W14)+W58+IF(W14&gt;0,+W53+W48+W49))*(Lønfremskivning+1))</f>
        <v>0</v>
      </c>
      <c r="X55" s="1810">
        <f>IF(AND(X14&gt;0,X16="ORLOV"),(X54*(Lønfremskivning+1)),(((X47+X59)*'Lon pæd., TAP mm'!X14)+X58+IF(X14&gt;0,+X53+X48+X49))*(Lønfremskivning+1))</f>
        <v>0</v>
      </c>
      <c r="Y55" s="1810">
        <f>IF(AND(Y14&gt;0,Y16="ORLOV"),(Y54*(Lønfremskivning+1)),(((Y47+Y59)*'Lon pæd., TAP mm'!Y14)+Y58+IF(Y14&gt;0,+Y53+Y48+Y49))*(Lønfremskivning+1))</f>
        <v>0</v>
      </c>
      <c r="Z55" s="1810">
        <f>IF(AND(Z14&gt;0,Z16="ORLOV"),(Z54*(Lønfremskivning+1)),(((Z47+Z59)*'Lon pæd., TAP mm'!Z14)+Z58+IF(Z14&gt;0,+Z53+Z48+Z49))*(Lønfremskivning+1))</f>
        <v>0</v>
      </c>
      <c r="AA55" s="1810">
        <f>IF(AND(AA14&gt;0,AA16="ORLOV"),(AA54*(Lønfremskivning+1)),(((AA47+AA59)*'Lon pæd., TAP mm'!AA14)+AA58+IF(AA14&gt;0,+AA53+AA48+AA49))*(Lønfremskivning+1))</f>
        <v>0</v>
      </c>
      <c r="AB55" s="1810">
        <f>IF(AND(AB14&gt;0,AB16="ORLOV"),(AB54*(Lønfremskivning+1)),(((AB47+AB59)*'Lon pæd., TAP mm'!AB14)+AB58+IF(AB14&gt;0,+AB53+AB48+AB49))*(Lønfremskivning+1))</f>
        <v>0</v>
      </c>
      <c r="AC55" s="1810">
        <f>IF(AND(AC14&gt;0,AC16="ORLOV"),(AC54*(Lønfremskivning+1)),(((AC47+AC59)*'Lon pæd., TAP mm'!AC14)+AC58+IF(AC14&gt;0,+AC53+AC48+AC49))*(Lønfremskivning+1))</f>
        <v>0</v>
      </c>
      <c r="AD55" s="1810">
        <f>IF(AND(AD14&gt;0,AD16="ORLOV"),(AD54*(Lønfremskivning+1)),(((AD47+AD59)*'Lon pæd., TAP mm'!AD14)+AD58+IF(AD14&gt;0,+AD53+AD48+AD49))*(Lønfremskivning+1))</f>
        <v>0</v>
      </c>
      <c r="AE55" s="1810">
        <f>IF(AND(AE14&gt;0,AE16="ORLOV"),(AE54*(Lønfremskivning+1)),(((AE47+AE59)*'Lon pæd., TAP mm'!AE14)+AE58+IF(AE14&gt;0,+AE53+AE48+AE49))*(Lønfremskivning+1))</f>
        <v>0</v>
      </c>
      <c r="AF55" s="1810">
        <f>IF(AND(AF14&gt;0,AF16="ORLOV"),(AF54*(Lønfremskivning+1)),(((AF47+AF59)*'Lon pæd., TAP mm'!AF14)+AF58+IF(AF14&gt;0,+AF53+AF48+AF49))*(Lønfremskivning+1))</f>
        <v>0</v>
      </c>
      <c r="AG55" s="1810">
        <f>IF(AND(AG14&gt;0,AG16="ORLOV"),(AG54*(Lønfremskivning+1)),(((AG47+AG59)*'Lon pæd., TAP mm'!AG14)+AG58+IF(AG14&gt;0,+AG53+AG48+AG49))*(Lønfremskivning+1))</f>
        <v>0</v>
      </c>
      <c r="AH55" s="2331">
        <f>IF(AND(AH14&gt;0,AH16="ORLOV"),AH45*AH14*(Lønfremskivning+1),(AH47*'Lon pæd., TAP mm'!AH14+AH53)*(Lønfremskivning+1))</f>
        <v>0</v>
      </c>
      <c r="AI55" s="2331">
        <f>IF(AND(AI14&gt;0,AI16="ORLOV"),AI45*AI14*(Lønfremskivning+1),(AI47*'Lon pæd., TAP mm'!AI14+AI53)*(Lønfremskivning+1))</f>
        <v>0</v>
      </c>
      <c r="AJ55" s="1810">
        <f>IF(AND(AJ14&gt;0,AJ16="ORLOV"),(AJ54*(Lønfremskivning+1)),(((AJ47+AJ59)*'Lon pæd., TAP mm'!AJ14)+AJ58+IF(AJ14&gt;0,+AJ53+AJ48+AJ49))*(Lønfremskivning+1))</f>
        <v>0</v>
      </c>
      <c r="AK55" s="1810">
        <f>IF(AND(AK14&gt;0,AK16="ORLOV"),(AK54*(Lønfremskivning+1)),(((AK47+AK59)*'Lon pæd., TAP mm'!AK14)+AK58+IF(AK14&gt;0,+AK53+AK48+AK49))*(Lønfremskivning+1))</f>
        <v>0</v>
      </c>
      <c r="AL55" s="1810">
        <f>IF(AND(AL14&gt;0,AL16="ORLOV"),(AL54*(Lønfremskivning+1)),(((AL47+AL59)*'Lon pæd., TAP mm'!AL14)+AL58+IF(AL14&gt;0,+AL53+AL48+AL49))*(Lønfremskivning+1))</f>
        <v>0</v>
      </c>
      <c r="AM55" s="1810">
        <f>IF(AND(AM14&gt;0,AM16="ORLOV"),(AM54*(Lønfremskivning+1)),(((AM47+AM59)*'Lon pæd., TAP mm'!AM14)+AM58+IF(AM14&gt;0,+AM53+AM48+AM49))*(Lønfremskivning+1))</f>
        <v>0</v>
      </c>
      <c r="AN55" s="1810">
        <f>IF(AND(AN14&gt;0,AN16="ORLOV"),(AN54*(Lønfremskivning+1)),(((AN47+AN59)*'Lon pæd., TAP mm'!AN14)+AN58+IF(AN14&gt;0,+AN53+AN48+AN49))*(Lønfremskivning+1))</f>
        <v>0</v>
      </c>
      <c r="AO55" s="1810">
        <f>IF(AND(AO14&gt;0,AO16="ORLOV"),(AO54*(Lønfremskivning+1)),(((AO47+AO59)*'Lon pæd., TAP mm'!AO14)+AO58+IF(AO14&gt;0,+AO53+AO48+AO49))*(Lønfremskivning+1))</f>
        <v>0</v>
      </c>
      <c r="AP55" s="1810">
        <f>IF(AND(AP14&gt;0,AP16="ORLOV"),(AP54*(Lønfremskivning+1)),(((AP47+AP59)*'Lon pæd., TAP mm'!AP14)+AP58+IF(AP14&gt;0,+AP53+AP48+AP49))*(Lønfremskivning+1))</f>
        <v>0</v>
      </c>
      <c r="AQ55" s="1810">
        <f>IF(AND(AQ14&gt;0,AQ16="ORLOV"),(AQ54*(Lønfremskivning+1)),(((AQ47+AQ59)*'Lon pæd., TAP mm'!AQ14)+AQ58+IF(AQ14&gt;0,+AQ53+AQ48+AQ49))*(Lønfremskivning+1))</f>
        <v>0</v>
      </c>
      <c r="AR55" s="1810">
        <f>IF(AND(AR14&gt;0,AR16="ORLOV"),(AR54*(Lønfremskivning+1)),(((AR47+AR59)*'Lon pæd., TAP mm'!AR14)+AR58+IF(AR14&gt;0,+AR53+AR48+AR49))*(Lønfremskivning+1))</f>
        <v>0</v>
      </c>
      <c r="AS55" s="1810">
        <f>IF(AND(AS14&gt;0,AS16="ORLOV"),(AS54*(Lønfremskivning+1)),(((AS47+AS59)*'Lon pæd., TAP mm'!AS14)+AS58+IF(AS14&gt;0,+AS53+AS48+AS49))*(Lønfremskivning+1))</f>
        <v>0</v>
      </c>
      <c r="AT55" s="2331">
        <f>IF(AND(AT14&gt;0,AT16="ORLOV"),AT45*AT14*(Lønfremskivning+1),(AT47*'Lon pæd., TAP mm'!AT14+AT53)*(Lønfremskivning+1))</f>
        <v>0</v>
      </c>
      <c r="AU55" s="2331">
        <f>IF(AND(AU14&gt;0,AU16="ORLOV"),AU45*AU14*(Lønfremskivning+1),(AU47*'Lon pæd., TAP mm'!AU14+AU53)*(Lønfremskivning+1))</f>
        <v>0</v>
      </c>
      <c r="AV55" s="1810">
        <f>IF(AND(AV14&gt;0,AV16="ORLOV"),(AV54*(Lønfremskivning+1)),(((AV47+AV59)*'Lon pæd., TAP mm'!AV14)+AV58+IF(AV14&gt;0,+AV53+AV48+AV49))*(Lønfremskivning+1))</f>
        <v>0</v>
      </c>
      <c r="AW55" s="1810">
        <f>IF(AND(AW14&gt;0,AW16="ORLOV"),(AW54*(Lønfremskivning+1)),(((AW47+AW59)*'Lon pæd., TAP mm'!AW14)+AW58+IF(AW14&gt;0,+AW53+AW48+AW49))*(Lønfremskivning+1))</f>
        <v>0</v>
      </c>
      <c r="AX55" s="1810">
        <f>IF(AND(AX14&gt;0,AX16="ORLOV"),(AX54*(Lønfremskivning+1)),(((AX47+AX59)*'Lon pæd., TAP mm'!AX14)+AX58+IF(AX14&gt;0,+AX53+AX48+AX49))*(Lønfremskivning+1))</f>
        <v>0</v>
      </c>
      <c r="AY55" s="1810">
        <f>IF(AND(AY14&gt;0,AY16="ORLOV"),(AY54*(Lønfremskivning+1)),(((AY47+AY59)*'Lon pæd., TAP mm'!AY14)+AY58+IF(AY14&gt;0,+AY53+AY48+AY49))*(Lønfremskivning+1))</f>
        <v>0</v>
      </c>
      <c r="AZ55" s="1810">
        <f>IF(AND(AZ14&gt;0,AZ16="ORLOV"),(AZ54*(Lønfremskivning+1)),(((AZ47+AZ59)*'Lon pæd., TAP mm'!AZ14)+AZ58+IF(AZ14&gt;0,+AZ53+AZ48+AZ49))*(Lønfremskivning+1))</f>
        <v>0</v>
      </c>
      <c r="BA55" s="1810">
        <f>IF(AND(BA14&gt;0,BA16="ORLOV"),(BA54*(Lønfremskivning+1)),(((BA47+BA59)*'Lon pæd., TAP mm'!BA14)+BA58+IF(BA14&gt;0,+BA53+BA48+BA49))*(Lønfremskivning+1))</f>
        <v>0</v>
      </c>
      <c r="BB55" s="1810">
        <f>IF(AND(BB14&gt;0,BB16="ORLOV"),(BB54*(Lønfremskivning+1)),(((BB47+BB59)*'Lon pæd., TAP mm'!BB14)+BB58+IF(BB14&gt;0,+BB53+BB48+BB49))*(Lønfremskivning+1))</f>
        <v>0</v>
      </c>
      <c r="BC55" s="1810">
        <f>IF(AND(BC14&gt;0,BC16="ORLOV"),(BC54*(Lønfremskivning+1)),(((BC47+BC59)*'Lon pæd., TAP mm'!BC14)+BC58+IF(BC14&gt;0,+BC53+BC48+BC49))*(Lønfremskivning+1))</f>
        <v>0</v>
      </c>
      <c r="BD55" s="1810">
        <f>IF(AND(BD14&gt;0,BD16="ORLOV"),(BD54*(Lønfremskivning+1)),(((BD47+BD59)*'Lon pæd., TAP mm'!BD14)+BD58+IF(BD14&gt;0,+BD53+BD48+BD49))*(Lønfremskivning+1))</f>
        <v>0</v>
      </c>
      <c r="BE55" s="1810">
        <f>IF(AND(BE14&gt;0,BE16="ORLOV"),(BE54*(Lønfremskivning+1)),(((BE47+BE59)*'Lon pæd., TAP mm'!BE14)+BE58+IF(BE14&gt;0,+BE53+BE48+BE49))*(Lønfremskivning+1))</f>
        <v>0</v>
      </c>
      <c r="BF55" s="2331">
        <f>IF(AND(BF14&gt;0,BF16="ORLOV"),BF45*BF14*(Lønfremskivning+1),(BF47*'Lon pæd., TAP mm'!BF14+BF53)*(Lønfremskivning+1))</f>
        <v>0</v>
      </c>
      <c r="BG55" s="2331">
        <f>IF(AND(BG14&gt;0,BG16="ORLOV"),BG45*BG14*(Lønfremskivning+1),(BG47*'Lon pæd., TAP mm'!BG14+BG53)*(Lønfremskivning+1))</f>
        <v>0</v>
      </c>
      <c r="BH55" s="1810">
        <f>IF(AND(BH14&gt;0,BH16="ORLOV"),(BH54*(Lønfremskivning+1)),(((BH47+BH59)*'Lon pæd., TAP mm'!BH14)+BH58+IF(BH14&gt;0,+BH53+BH48+BH49))*(Lønfremskivning+1))</f>
        <v>0</v>
      </c>
      <c r="BI55" s="1810">
        <f>IF(AND(BI14&gt;0,BI16="ORLOV"),(BI54*(Lønfremskivning+1)),(((BI47+BI59)*'Lon pæd., TAP mm'!BI14)+BI58+IF(BI14&gt;0,+BI53+BI48+BI49))*(Lønfremskivning+1))</f>
        <v>0</v>
      </c>
      <c r="BJ55" s="1810">
        <f>IF(AND(BJ14&gt;0,BJ16="ORLOV"),(BJ54*(Lønfremskivning+1)),(((BJ47+BJ59)*'Lon pæd., TAP mm'!BJ14)+BJ58+IF(BJ14&gt;0,+BJ53+BJ48+BJ49))*(Lønfremskivning+1))</f>
        <v>0</v>
      </c>
      <c r="BK55" s="1810">
        <f>IF(AND(BK14&gt;0,BK16="ORLOV"),(BK54*(Lønfremskivning+1)),(((BK47+BK59)*'Lon pæd., TAP mm'!BK14)+BK58+IF(BK14&gt;0,+BK53+BK48+BK49))*(Lønfremskivning+1))</f>
        <v>0</v>
      </c>
      <c r="BL55" s="2331">
        <f>IF(AND(BL14&gt;0,BL16="ORLOV"),BL45*BL14*(Lønfremskivning+1),(BL47*'Lon pæd., TAP mm'!BL14+BL53)*(Lønfremskivning+1))</f>
        <v>0</v>
      </c>
      <c r="BM55" s="2331">
        <f>IF(AND(BM14&gt;0,BM16="ORLOV"),BM45*BM14*(Lønfremskivning+1),(BM47*'Lon pæd., TAP mm'!BM14+BM53)*(Lønfremskivning+1))</f>
        <v>0</v>
      </c>
      <c r="BN55" s="1810">
        <f>IF(AND(BN14&gt;0,BN16="ORLOV"),(BN54*(Lønfremskivning+1)),(((BN47+BN59)*'Lon pæd., TAP mm'!BN14)+BN58+IF(BN14&gt;0,+BN53+BN48+BN49))*(Lønfremskivning+1))</f>
        <v>0</v>
      </c>
      <c r="BO55" s="1810">
        <f>IF(AND(BO14&gt;0,BO16="ORLOV"),(BO54*(Lønfremskivning+1)),(((BO47+BO59)*'Lon pæd., TAP mm'!BO14)+BO58+IF(BO14&gt;0,+BO53+BO48+BO49))*(Lønfremskivning+1))</f>
        <v>0</v>
      </c>
      <c r="BP55" s="1810">
        <f>IF(AND(BP14&gt;0,BP16="ORLOV"),(BP54*(Lønfremskivning+1)),(((BP47+BP59)*'Lon pæd., TAP mm'!BP14)+BP58+IF(BP14&gt;0,+BP53+BP48+BP49))*(Lønfremskivning+1))</f>
        <v>0</v>
      </c>
      <c r="BQ55" s="1810">
        <f>IF(AND(BQ14&gt;0,BQ16="ORLOV"),(BQ54*(Lønfremskivning+1)),(((BQ47+BQ59)*'Lon pæd., TAP mm'!BQ14)+BQ58+IF(BQ14&gt;0,+BQ53+BQ48+BQ49))*(Lønfremskivning+1))</f>
        <v>0</v>
      </c>
      <c r="BR55" s="1810">
        <f>IF(AND(BR14&gt;0,BR16="ORLOV"),(BR54*(Lønfremskivning+1)),(((BR47+BR59)*'Lon pæd., TAP mm'!BR14)+BR58+IF(BR14&gt;0,+BR53+BR48+BR49))*(Lønfremskivning+1))</f>
        <v>0</v>
      </c>
      <c r="BS55" s="1810">
        <f>IF(AND(BS14&gt;0,BS16="ORLOV"),(BS54*(Lønfremskivning+1)),(((BS47+BS59)*'Lon pæd., TAP mm'!BS14)+BS58+IF(BS14&gt;0,+BS53+BS48+BS49))*(Lønfremskivning+1))</f>
        <v>0</v>
      </c>
      <c r="BT55" s="1810">
        <f>IF(AND(BT14&gt;0,BT16="ORLOV"),(BT54*(Lønfremskivning+1)),(((BT47+BT59)*'Lon pæd., TAP mm'!BT14)+BT58+IF(BT14&gt;0,+BT53+BT48+BT49))*(Lønfremskivning+1))</f>
        <v>0</v>
      </c>
      <c r="BU55" s="1810">
        <f>IF(AND(BU14&gt;0,BU16="ORLOV"),(BU54*(Lønfremskivning+1)),(((BU47+BU59)*'Lon pæd., TAP mm'!BU14)+BU58+IF(BU14&gt;0,+BU53+BU48+BU49))*(Lønfremskivning+1))</f>
        <v>0</v>
      </c>
      <c r="BV55" s="1810">
        <f>IF(AND(BV14&gt;0,BV16="ORLOV"),(BV54*(Lønfremskivning+1)),(((BV47+BV59)*'Lon pæd., TAP mm'!BV14)+BV58+IF(BV14&gt;0,+BV53+BV48+BV49))*(Lønfremskivning+1))</f>
        <v>0</v>
      </c>
      <c r="BW55" s="1810">
        <f>IF(AND(BW14&gt;0,BW16="ORLOV"),(BW54*(Lønfremskivning+1)),(((BW47+BW59)*'Lon pæd., TAP mm'!BW14)+BW58+IF(BW14&gt;0,+BW53+BW48+BW49))*(Lønfremskivning+1))</f>
        <v>0</v>
      </c>
      <c r="BX55" s="1810">
        <f>IF(AND(BX14&gt;0,BX16="ORLOV"),(BX54*(Lønfremskivning+1)),(((BX47+BX59)*'Lon pæd., TAP mm'!BX14)+BX58+IF(BX14&gt;0,+BX53+BX48+BX49))*(Lønfremskivning+1))</f>
        <v>0</v>
      </c>
      <c r="BY55" s="2331">
        <f>IF(AND(BY14&gt;0,BY16="ORLOV"),BY45*BY14*(Lønfremskivning+1),(BY47*'Lon pæd., TAP mm'!BY14+BY53)*(Lønfremskivning+1))</f>
        <v>0</v>
      </c>
      <c r="BZ55" s="2331">
        <f>IF(AND(BZ14&gt;0,BZ16="ORLOV"),BZ45*BZ14*(Lønfremskivning+1),(BZ47*'Lon pæd., TAP mm'!BZ14+BZ53)*(Lønfremskivning+1))</f>
        <v>0</v>
      </c>
      <c r="CA55" s="1810">
        <f>IF(AND(CA14&gt;0,CA16="ORLOV"),(CA54*(Lønfremskivning+1)),(((CA47+CA59)*'Lon pæd., TAP mm'!CA14)+CA58+IF(CA14&gt;0,+CA53+CA48+CA49))*(Lønfremskivning+1))</f>
        <v>0</v>
      </c>
      <c r="CB55" s="1810">
        <f>IF(AND(CB14&gt;0,CB16="ORLOV"),(CB54*(Lønfremskivning+1)),(((CB47+CB59)*'Lon pæd., TAP mm'!CB14)+CB58+IF(CB14&gt;0,+CB53+CB48+CB49))*(Lønfremskivning+1))</f>
        <v>0</v>
      </c>
      <c r="CC55" s="1810">
        <f>IF(AND(CC14&gt;0,CC16="ORLOV"),(CC54*(Lønfremskivning+1)),(((CC47+CC59)*'Lon pæd., TAP mm'!CC14)+CC58+IF(CC14&gt;0,+CC53+CC48+CC49))*(Lønfremskivning+1))</f>
        <v>0</v>
      </c>
      <c r="CD55" s="1810">
        <f>IF(AND(CD14&gt;0,CD16="ORLOV"),(CD54*(Lønfremskivning+1)),(((CD47+CD59)*'Lon pæd., TAP mm'!CD14)+CD58+IF(CD14&gt;0,+CD53+CD48+CD49))*(Lønfremskivning+1))</f>
        <v>0</v>
      </c>
      <c r="CE55" s="1810">
        <f>IF(AND(CE14&gt;0,CE16="ORLOV"),(CE54*(Lønfremskivning+1)),(((CE47+CE59)*'Lon pæd., TAP mm'!CE14)+CE58+IF(CE14&gt;0,+CE53+CE48+CE49))*(Lønfremskivning+1))</f>
        <v>0</v>
      </c>
      <c r="CF55" s="2331">
        <f>IF(AND(CF14&gt;0,CF16="ORLOV"),CF45*CF14*(Lønfremskivning+1),(CF47*'Lon pæd., TAP mm'!CF14+CF53)*(Lønfremskivning+1))</f>
        <v>0</v>
      </c>
      <c r="CG55" s="2331">
        <f>IF(AND(CG14&gt;0,CG16="ORLOV"),CG45*CG14*(Lønfremskivning+1),(CG47*'Lon pæd., TAP mm'!CG14+CG53)*(Lønfremskivning+1))</f>
        <v>0</v>
      </c>
    </row>
    <row r="56" spans="1:111" ht="25" customHeight="1">
      <c r="A56" s="2949"/>
      <c r="B56" s="2949"/>
      <c r="C56" s="1582" t="str">
        <f>"SFO i alt året "&amp;budgetår</f>
        <v>SFO i alt året 2024</v>
      </c>
      <c r="D56" s="1583"/>
      <c r="E56" s="1583"/>
      <c r="F56" s="1583"/>
      <c r="G56" s="1583"/>
      <c r="H56" s="1583"/>
      <c r="I56" s="1583"/>
      <c r="J56" s="1583"/>
      <c r="K56" s="1583"/>
      <c r="L56" s="1583"/>
      <c r="M56" s="1583"/>
      <c r="N56" s="1583"/>
      <c r="O56" s="1583"/>
      <c r="P56" s="1583"/>
      <c r="Q56" s="1583"/>
      <c r="R56" s="1583"/>
      <c r="S56" s="1583"/>
      <c r="T56" s="1583"/>
      <c r="U56" s="1584">
        <f>SUM(C54:U54)</f>
        <v>0</v>
      </c>
      <c r="V56" s="1583" t="str">
        <f>"Daginstitution i alt året "&amp;budgetår</f>
        <v>Daginstitution i alt året 2024</v>
      </c>
      <c r="W56" s="1583" t="str">
        <f>"Daginstitution i alt året "&amp;budgetår</f>
        <v>Daginstitution i alt året 2024</v>
      </c>
      <c r="X56" s="1583"/>
      <c r="Y56" s="1583"/>
      <c r="Z56" s="1583"/>
      <c r="AA56" s="1583"/>
      <c r="AB56" s="1583"/>
      <c r="AC56" s="1583"/>
      <c r="AD56" s="1583"/>
      <c r="AE56" s="1583"/>
      <c r="AF56" s="1583"/>
      <c r="AG56" s="1583"/>
      <c r="AH56" s="1582"/>
      <c r="AI56" s="1584">
        <f>SUM(V54:AI54)</f>
        <v>0</v>
      </c>
      <c r="AJ56" s="2942" t="str">
        <f>"Heltidsskolefritidsordning i alt året "&amp;budgetår</f>
        <v>Heltidsskolefritidsordning i alt året 2024</v>
      </c>
      <c r="AK56" s="2942"/>
      <c r="AL56" s="2942"/>
      <c r="AM56" s="2942"/>
      <c r="AN56" s="2942"/>
      <c r="AO56" s="2942"/>
      <c r="AP56" s="1583"/>
      <c r="AQ56" s="1583"/>
      <c r="AR56" s="1583"/>
      <c r="AS56" s="1583"/>
      <c r="AT56" s="1583"/>
      <c r="AU56" s="1584">
        <f>SUM(AJ54:AU54)</f>
        <v>0</v>
      </c>
      <c r="AV56" s="2942" t="str">
        <f>"Pædagogisk personale i skolen i alt året "&amp;budgetår</f>
        <v>Pædagogisk personale i skolen i alt året 2024</v>
      </c>
      <c r="AW56" s="2942"/>
      <c r="AX56" s="2942"/>
      <c r="AY56" s="2942"/>
      <c r="AZ56" s="2942"/>
      <c r="BA56" s="2942"/>
      <c r="BB56" s="1583"/>
      <c r="BC56" s="1583"/>
      <c r="BD56" s="1583"/>
      <c r="BE56" s="1583"/>
      <c r="BF56" s="1583"/>
      <c r="BG56" s="1584">
        <f>SUM(AV54:BG54)</f>
        <v>0</v>
      </c>
      <c r="BH56" s="1583" t="str">
        <f>"Adm personale i alt år "&amp;budgetår</f>
        <v>Adm personale i alt år 2024</v>
      </c>
      <c r="BI56" s="1583"/>
      <c r="BJ56" s="1583"/>
      <c r="BK56" s="1583"/>
      <c r="BL56" s="1583"/>
      <c r="BM56" s="1584">
        <f>SUM(BH54:BM54)</f>
        <v>0</v>
      </c>
      <c r="BN56" s="1583" t="str">
        <f>"Pedel og Rengøring "&amp;budgetår</f>
        <v>Pedel og Rengøring 2024</v>
      </c>
      <c r="BO56" s="1583"/>
      <c r="BP56" s="1583"/>
      <c r="BQ56" s="1583"/>
      <c r="BR56" s="1583"/>
      <c r="BS56" s="1583"/>
      <c r="BT56" s="1583"/>
      <c r="BU56" s="1583"/>
      <c r="BV56" s="1583"/>
      <c r="BW56" s="1583"/>
      <c r="BX56" s="1583"/>
      <c r="BY56" s="1583"/>
      <c r="BZ56" s="1584">
        <f>SUM(BN54:BZ54)</f>
        <v>0</v>
      </c>
      <c r="CA56" s="1583" t="str">
        <f>"Kostafdeling i alt "&amp;budgetår</f>
        <v>Kostafdeling i alt 2024</v>
      </c>
      <c r="CB56" s="1583"/>
      <c r="CC56" s="1583"/>
      <c r="CD56" s="1583"/>
      <c r="CE56" s="1583"/>
      <c r="CF56" s="1583"/>
      <c r="CG56" s="1584">
        <f>SUM(CA54:CG54)</f>
        <v>0</v>
      </c>
      <c r="CM56" s="2356"/>
      <c r="CN56" s="2356"/>
      <c r="CO56" s="2356"/>
      <c r="CP56" s="2356"/>
      <c r="CQ56" s="2356"/>
      <c r="CR56" s="2356"/>
      <c r="CS56" s="2356"/>
      <c r="CT56" s="2356"/>
      <c r="CU56" s="2356"/>
      <c r="CV56" s="2356"/>
      <c r="CW56" s="2356"/>
      <c r="CX56" s="2356"/>
      <c r="CY56" s="2356"/>
      <c r="CZ56" s="2356"/>
      <c r="DA56" s="2356"/>
      <c r="DB56" s="2356"/>
      <c r="DC56" s="2356"/>
      <c r="DD56" s="2356"/>
      <c r="DE56" s="2356"/>
      <c r="DF56" s="2356"/>
      <c r="DG56" s="2356"/>
    </row>
    <row r="57" spans="1:111" ht="22.5" customHeight="1">
      <c r="A57" s="2949"/>
      <c r="B57" s="2949"/>
      <c r="C57" s="1582" t="str">
        <f>"SFO i alt året "&amp;budgetår+1</f>
        <v>SFO i alt året 2025</v>
      </c>
      <c r="D57" s="1583"/>
      <c r="E57" s="1583"/>
      <c r="F57" s="1583"/>
      <c r="G57" s="1583"/>
      <c r="H57" s="1583"/>
      <c r="I57" s="1583"/>
      <c r="J57" s="1583"/>
      <c r="K57" s="1583"/>
      <c r="L57" s="1583"/>
      <c r="M57" s="1583"/>
      <c r="N57" s="1583"/>
      <c r="O57" s="1583"/>
      <c r="P57" s="1583"/>
      <c r="Q57" s="1583"/>
      <c r="R57" s="1583"/>
      <c r="S57" s="1583"/>
      <c r="T57" s="1583"/>
      <c r="U57" s="1585">
        <f>SUM(C55:U55)</f>
        <v>0</v>
      </c>
      <c r="V57" s="1583" t="str">
        <f>"Daginstitution i alt året "&amp;budgetår+1</f>
        <v>Daginstitution i alt året 2025</v>
      </c>
      <c r="W57" s="1583" t="str">
        <f>"Daginstitution i alt året "&amp;budgetår+1</f>
        <v>Daginstitution i alt året 2025</v>
      </c>
      <c r="X57" s="1583"/>
      <c r="Y57" s="1583"/>
      <c r="Z57" s="1583"/>
      <c r="AA57" s="1583"/>
      <c r="AB57" s="1583"/>
      <c r="AC57" s="1583"/>
      <c r="AD57" s="1583"/>
      <c r="AE57" s="1583"/>
      <c r="AF57" s="1583"/>
      <c r="AG57" s="1583"/>
      <c r="AH57" s="1582"/>
      <c r="AI57" s="1585">
        <f>SUM(V55:AI55)</f>
        <v>0</v>
      </c>
      <c r="AJ57" s="2943" t="str">
        <f>"Heltidsskolefritidsordning i alt året "&amp;budgetår+1</f>
        <v>Heltidsskolefritidsordning i alt året 2025</v>
      </c>
      <c r="AK57" s="2943"/>
      <c r="AL57" s="2943"/>
      <c r="AM57" s="2943"/>
      <c r="AN57" s="2943"/>
      <c r="AO57" s="2943"/>
      <c r="AP57" s="1583"/>
      <c r="AQ57" s="1583"/>
      <c r="AR57" s="1583"/>
      <c r="AS57" s="1583"/>
      <c r="AT57" s="1583"/>
      <c r="AU57" s="1585">
        <f>SUM(AJ55:AU55)</f>
        <v>0</v>
      </c>
      <c r="AV57" s="2943" t="str">
        <f>"Pædagogisk personele i skolen i alt året "&amp;budgetår+1</f>
        <v>Pædagogisk personele i skolen i alt året 2025</v>
      </c>
      <c r="AW57" s="2943"/>
      <c r="AX57" s="2943"/>
      <c r="AY57" s="2943"/>
      <c r="AZ57" s="2943"/>
      <c r="BA57" s="2943"/>
      <c r="BB57" s="1583"/>
      <c r="BC57" s="1583"/>
      <c r="BD57" s="1583"/>
      <c r="BE57" s="1583"/>
      <c r="BF57" s="1583"/>
      <c r="BG57" s="1585">
        <f>SUM(AV55:BG55)</f>
        <v>0</v>
      </c>
      <c r="BH57" s="1583" t="str">
        <f>"Adm personale i alt år "&amp;budgetår+1</f>
        <v>Adm personale i alt år 2025</v>
      </c>
      <c r="BI57" s="1583"/>
      <c r="BJ57" s="1583"/>
      <c r="BK57" s="1583"/>
      <c r="BL57" s="1583"/>
      <c r="BM57" s="1585">
        <f>SUM(BH55:BM55)</f>
        <v>0</v>
      </c>
      <c r="BN57" s="1583" t="str">
        <f>"Pedel og Rengøring "&amp;budgetår+1</f>
        <v>Pedel og Rengøring 2025</v>
      </c>
      <c r="BO57" s="1583"/>
      <c r="BP57" s="1583"/>
      <c r="BQ57" s="1583"/>
      <c r="BR57" s="1583"/>
      <c r="BS57" s="1583"/>
      <c r="BT57" s="1583"/>
      <c r="BU57" s="1583"/>
      <c r="BV57" s="1583"/>
      <c r="BW57" s="1583"/>
      <c r="BX57" s="1583"/>
      <c r="BY57" s="1583"/>
      <c r="BZ57" s="1585">
        <f>SUM(BN55:BZ55)</f>
        <v>0</v>
      </c>
      <c r="CA57" s="1583" t="str">
        <f>"Kostafdeling i alt "&amp;budgetår+1</f>
        <v>Kostafdeling i alt 2025</v>
      </c>
      <c r="CB57" s="1583"/>
      <c r="CC57" s="1583"/>
      <c r="CD57" s="1583"/>
      <c r="CE57" s="1583"/>
      <c r="CF57" s="1583"/>
      <c r="CG57" s="1585">
        <f>SUM(CA55:CG55)</f>
        <v>0</v>
      </c>
      <c r="CM57" s="2356"/>
      <c r="CN57" s="2356"/>
      <c r="CO57" s="2356"/>
      <c r="CP57" s="2356"/>
      <c r="CQ57" s="2356"/>
      <c r="CR57" s="2356"/>
      <c r="CS57" s="2356"/>
      <c r="CT57" s="2356"/>
      <c r="CU57" s="2356"/>
      <c r="CV57" s="2356"/>
      <c r="CW57" s="2356"/>
      <c r="CX57" s="2356"/>
      <c r="CY57" s="2356"/>
      <c r="CZ57" s="2356"/>
      <c r="DA57" s="2356"/>
      <c r="DB57" s="2356"/>
      <c r="DC57" s="2356"/>
      <c r="DD57" s="2356"/>
      <c r="DE57" s="2356"/>
      <c r="DF57" s="2356"/>
      <c r="DG57" s="2356"/>
    </row>
    <row r="58" spans="1:111" s="2356" customFormat="1" ht="24" hidden="1" customHeight="1">
      <c r="A58" s="2353" t="s">
        <v>1414</v>
      </c>
      <c r="B58" s="2353"/>
      <c r="C58" s="2354">
        <f t="shared" ref="C58:BN58" si="287">IF(AND(C18="Nej",C19="Ja"),(C9+C26)*1.17*0.8%*C14,0)</f>
        <v>0</v>
      </c>
      <c r="D58" s="2354">
        <f t="shared" si="287"/>
        <v>0</v>
      </c>
      <c r="E58" s="2354">
        <f>IF(AND(E18="Nej",E19="Ja"),(E37+E38+E39+E26)*E20%*0.8%*E14+(E37+E38+E39+E26)*0.8%*E14,0)</f>
        <v>0</v>
      </c>
      <c r="F58" s="2354">
        <f>IF(AND(F18="Nej",F19="Ja"),(F37+F38+F39+F26)*F20%*0.8%*F14+(F37+F38+F39+F26)*0.8%*F14,0)</f>
        <v>0</v>
      </c>
      <c r="G58" s="2354">
        <f>IF(AND(G18="Nej",G19="Ja"),(G37+G38+G39+G26)*G20%*0.8%*G14+(G37+G38+G39+G26)*0.8%*G14,0)</f>
        <v>0</v>
      </c>
      <c r="H58" s="2354">
        <f t="shared" si="287"/>
        <v>0</v>
      </c>
      <c r="I58" s="2354">
        <f t="shared" si="287"/>
        <v>0</v>
      </c>
      <c r="J58" s="2354">
        <f t="shared" si="287"/>
        <v>0</v>
      </c>
      <c r="K58" s="2354">
        <f t="shared" si="287"/>
        <v>0</v>
      </c>
      <c r="L58" s="2354">
        <f t="shared" si="287"/>
        <v>0</v>
      </c>
      <c r="M58" s="2354">
        <f t="shared" si="287"/>
        <v>0</v>
      </c>
      <c r="N58" s="2354">
        <f t="shared" si="287"/>
        <v>0</v>
      </c>
      <c r="O58" s="2354">
        <f t="shared" si="287"/>
        <v>0</v>
      </c>
      <c r="P58" s="2354">
        <f t="shared" si="287"/>
        <v>0</v>
      </c>
      <c r="Q58" s="2354">
        <f t="shared" si="287"/>
        <v>0</v>
      </c>
      <c r="R58" s="2354">
        <f t="shared" si="287"/>
        <v>0</v>
      </c>
      <c r="S58" s="2354">
        <f t="shared" si="287"/>
        <v>0</v>
      </c>
      <c r="T58" s="2354">
        <f t="shared" si="287"/>
        <v>0</v>
      </c>
      <c r="U58" s="2354">
        <f t="shared" si="287"/>
        <v>0</v>
      </c>
      <c r="V58" s="2354">
        <f t="shared" si="287"/>
        <v>0</v>
      </c>
      <c r="W58" s="2354">
        <f t="shared" si="287"/>
        <v>0</v>
      </c>
      <c r="X58" s="2354">
        <f t="shared" si="287"/>
        <v>0</v>
      </c>
      <c r="Y58" s="2354">
        <f t="shared" si="287"/>
        <v>0</v>
      </c>
      <c r="Z58" s="2354">
        <f t="shared" si="287"/>
        <v>0</v>
      </c>
      <c r="AA58" s="2354">
        <f t="shared" si="287"/>
        <v>0</v>
      </c>
      <c r="AB58" s="2354">
        <f t="shared" si="287"/>
        <v>0</v>
      </c>
      <c r="AC58" s="2354">
        <f t="shared" si="287"/>
        <v>0</v>
      </c>
      <c r="AD58" s="2354">
        <f t="shared" si="287"/>
        <v>0</v>
      </c>
      <c r="AE58" s="2354">
        <f t="shared" si="287"/>
        <v>0</v>
      </c>
      <c r="AF58" s="2354">
        <f t="shared" si="287"/>
        <v>0</v>
      </c>
      <c r="AG58" s="2354">
        <f t="shared" si="287"/>
        <v>0</v>
      </c>
      <c r="AH58" s="2354">
        <f t="shared" si="287"/>
        <v>0</v>
      </c>
      <c r="AI58" s="2354">
        <f t="shared" si="287"/>
        <v>0</v>
      </c>
      <c r="AJ58" s="2354">
        <f t="shared" si="287"/>
        <v>0</v>
      </c>
      <c r="AK58" s="2354">
        <f t="shared" si="287"/>
        <v>0</v>
      </c>
      <c r="AL58" s="2354">
        <f t="shared" si="287"/>
        <v>0</v>
      </c>
      <c r="AM58" s="2354">
        <f t="shared" si="287"/>
        <v>0</v>
      </c>
      <c r="AN58" s="2354">
        <f t="shared" si="287"/>
        <v>0</v>
      </c>
      <c r="AO58" s="2354">
        <f t="shared" si="287"/>
        <v>0</v>
      </c>
      <c r="AP58" s="2354">
        <f t="shared" si="287"/>
        <v>0</v>
      </c>
      <c r="AQ58" s="2354">
        <f t="shared" si="287"/>
        <v>0</v>
      </c>
      <c r="AR58" s="2354">
        <f t="shared" si="287"/>
        <v>0</v>
      </c>
      <c r="AS58" s="2354">
        <f t="shared" si="287"/>
        <v>0</v>
      </c>
      <c r="AT58" s="2354">
        <f t="shared" si="287"/>
        <v>0</v>
      </c>
      <c r="AU58" s="2354">
        <f t="shared" si="287"/>
        <v>0</v>
      </c>
      <c r="AV58" s="2354">
        <f t="shared" si="287"/>
        <v>0</v>
      </c>
      <c r="AW58" s="2354">
        <f t="shared" si="287"/>
        <v>0</v>
      </c>
      <c r="AX58" s="2354">
        <f t="shared" si="287"/>
        <v>0</v>
      </c>
      <c r="AY58" s="2354">
        <f t="shared" si="287"/>
        <v>0</v>
      </c>
      <c r="AZ58" s="2354">
        <f t="shared" si="287"/>
        <v>0</v>
      </c>
      <c r="BA58" s="2354">
        <f t="shared" si="287"/>
        <v>0</v>
      </c>
      <c r="BB58" s="2354">
        <f t="shared" si="287"/>
        <v>0</v>
      </c>
      <c r="BC58" s="2354">
        <f t="shared" si="287"/>
        <v>0</v>
      </c>
      <c r="BD58" s="2354">
        <f t="shared" si="287"/>
        <v>0</v>
      </c>
      <c r="BE58" s="2354">
        <f t="shared" si="287"/>
        <v>0</v>
      </c>
      <c r="BF58" s="2354">
        <f t="shared" si="287"/>
        <v>0</v>
      </c>
      <c r="BG58" s="2354">
        <f t="shared" si="287"/>
        <v>0</v>
      </c>
      <c r="BH58" s="2354">
        <f t="shared" si="287"/>
        <v>0</v>
      </c>
      <c r="BI58" s="2354">
        <f t="shared" si="287"/>
        <v>0</v>
      </c>
      <c r="BJ58" s="2354">
        <f t="shared" si="287"/>
        <v>0</v>
      </c>
      <c r="BK58" s="2354">
        <f t="shared" si="287"/>
        <v>0</v>
      </c>
      <c r="BL58" s="2354">
        <f t="shared" si="287"/>
        <v>0</v>
      </c>
      <c r="BM58" s="2354">
        <f t="shared" si="287"/>
        <v>0</v>
      </c>
      <c r="BN58" s="2354">
        <f t="shared" si="287"/>
        <v>0</v>
      </c>
      <c r="BO58" s="2354">
        <f t="shared" ref="BO58:CG58" si="288">IF(AND(BO18="Nej",BO19="Ja"),(BO9+BO26)*1.17*0.8%*BO14,0)</f>
        <v>0</v>
      </c>
      <c r="BP58" s="2354">
        <f t="shared" si="288"/>
        <v>0</v>
      </c>
      <c r="BQ58" s="2354">
        <f t="shared" si="288"/>
        <v>0</v>
      </c>
      <c r="BR58" s="2354">
        <f t="shared" si="288"/>
        <v>0</v>
      </c>
      <c r="BS58" s="2354">
        <f t="shared" si="288"/>
        <v>0</v>
      </c>
      <c r="BT58" s="2354">
        <f t="shared" si="288"/>
        <v>0</v>
      </c>
      <c r="BU58" s="2354">
        <f t="shared" si="288"/>
        <v>0</v>
      </c>
      <c r="BV58" s="2354">
        <f t="shared" si="288"/>
        <v>0</v>
      </c>
      <c r="BW58" s="2354">
        <f t="shared" si="288"/>
        <v>0</v>
      </c>
      <c r="BX58" s="2354">
        <f t="shared" si="288"/>
        <v>0</v>
      </c>
      <c r="BY58" s="2354">
        <f t="shared" si="288"/>
        <v>0</v>
      </c>
      <c r="BZ58" s="2354">
        <f t="shared" si="288"/>
        <v>0</v>
      </c>
      <c r="CA58" s="2354">
        <f t="shared" si="288"/>
        <v>0</v>
      </c>
      <c r="CB58" s="2354">
        <f t="shared" si="288"/>
        <v>0</v>
      </c>
      <c r="CC58" s="2354">
        <f t="shared" si="288"/>
        <v>0</v>
      </c>
      <c r="CD58" s="2354">
        <f t="shared" si="288"/>
        <v>0</v>
      </c>
      <c r="CE58" s="2354">
        <f t="shared" si="288"/>
        <v>0</v>
      </c>
      <c r="CF58" s="2354">
        <f t="shared" si="288"/>
        <v>0</v>
      </c>
      <c r="CG58" s="2354">
        <f t="shared" si="288"/>
        <v>0</v>
      </c>
      <c r="CM58" s="1163"/>
      <c r="CN58" s="1163"/>
      <c r="CO58" s="1163"/>
      <c r="CP58" s="1163"/>
      <c r="CQ58" s="98"/>
      <c r="CR58" s="98"/>
      <c r="CS58" s="98"/>
      <c r="CT58" s="98"/>
      <c r="CU58" s="98"/>
      <c r="CV58" s="98"/>
      <c r="CW58" s="98"/>
      <c r="CX58" s="98"/>
      <c r="CY58" s="98"/>
      <c r="CZ58" s="98"/>
      <c r="DA58" s="98"/>
      <c r="DB58" s="98"/>
      <c r="DC58" s="98"/>
      <c r="DD58" s="98"/>
      <c r="DE58" s="98"/>
      <c r="DF58" s="98"/>
      <c r="DG58" s="98"/>
    </row>
    <row r="59" spans="1:111" s="2356" customFormat="1" ht="24" hidden="1" customHeight="1">
      <c r="A59" s="2353" t="s">
        <v>1415</v>
      </c>
      <c r="B59" s="2353"/>
      <c r="C59" s="2354">
        <f t="shared" ref="C59:BN59" si="289">IF(C15="Ja",(C41-C40+C45)*0.45%,0)</f>
        <v>0</v>
      </c>
      <c r="D59" s="2354">
        <f t="shared" si="289"/>
        <v>0</v>
      </c>
      <c r="E59" s="2354">
        <f t="shared" si="289"/>
        <v>0</v>
      </c>
      <c r="F59" s="2354">
        <f>IF(F15="Ja",(F41-F40+F45)*0.45%,0)</f>
        <v>0</v>
      </c>
      <c r="G59" s="2354">
        <f t="shared" si="289"/>
        <v>0</v>
      </c>
      <c r="H59" s="2354">
        <f t="shared" si="289"/>
        <v>0</v>
      </c>
      <c r="I59" s="2354">
        <f t="shared" si="289"/>
        <v>0</v>
      </c>
      <c r="J59" s="2354">
        <f t="shared" si="289"/>
        <v>0</v>
      </c>
      <c r="K59" s="2354">
        <f t="shared" si="289"/>
        <v>0</v>
      </c>
      <c r="L59" s="2354">
        <f t="shared" si="289"/>
        <v>0</v>
      </c>
      <c r="M59" s="2354">
        <f t="shared" si="289"/>
        <v>0</v>
      </c>
      <c r="N59" s="2354">
        <f t="shared" si="289"/>
        <v>0</v>
      </c>
      <c r="O59" s="2354">
        <f t="shared" si="289"/>
        <v>0</v>
      </c>
      <c r="P59" s="2354">
        <f t="shared" si="289"/>
        <v>0</v>
      </c>
      <c r="Q59" s="2354">
        <f t="shared" si="289"/>
        <v>0</v>
      </c>
      <c r="R59" s="2354">
        <f t="shared" si="289"/>
        <v>0</v>
      </c>
      <c r="S59" s="2354">
        <f t="shared" si="289"/>
        <v>0</v>
      </c>
      <c r="T59" s="2354">
        <f t="shared" si="289"/>
        <v>0</v>
      </c>
      <c r="U59" s="2354">
        <f t="shared" si="289"/>
        <v>0</v>
      </c>
      <c r="V59" s="2354">
        <f t="shared" si="289"/>
        <v>0</v>
      </c>
      <c r="W59" s="2354">
        <f t="shared" si="289"/>
        <v>0</v>
      </c>
      <c r="X59" s="2354">
        <f t="shared" si="289"/>
        <v>0</v>
      </c>
      <c r="Y59" s="2354">
        <f t="shared" si="289"/>
        <v>0</v>
      </c>
      <c r="Z59" s="2354">
        <f t="shared" si="289"/>
        <v>0</v>
      </c>
      <c r="AA59" s="2354">
        <f t="shared" si="289"/>
        <v>0</v>
      </c>
      <c r="AB59" s="2354">
        <f t="shared" si="289"/>
        <v>0</v>
      </c>
      <c r="AC59" s="2354">
        <f t="shared" si="289"/>
        <v>0</v>
      </c>
      <c r="AD59" s="2354">
        <f t="shared" si="289"/>
        <v>0</v>
      </c>
      <c r="AE59" s="2354">
        <f t="shared" si="289"/>
        <v>0</v>
      </c>
      <c r="AF59" s="2354">
        <f t="shared" si="289"/>
        <v>0</v>
      </c>
      <c r="AG59" s="2354">
        <f t="shared" si="289"/>
        <v>0</v>
      </c>
      <c r="AH59" s="2354">
        <f t="shared" si="289"/>
        <v>0</v>
      </c>
      <c r="AI59" s="2354">
        <f t="shared" si="289"/>
        <v>0</v>
      </c>
      <c r="AJ59" s="2354">
        <f t="shared" si="289"/>
        <v>0</v>
      </c>
      <c r="AK59" s="2354">
        <f t="shared" si="289"/>
        <v>0</v>
      </c>
      <c r="AL59" s="2354">
        <f t="shared" si="289"/>
        <v>0</v>
      </c>
      <c r="AM59" s="2354">
        <f t="shared" si="289"/>
        <v>0</v>
      </c>
      <c r="AN59" s="2354">
        <f t="shared" si="289"/>
        <v>0</v>
      </c>
      <c r="AO59" s="2354">
        <f t="shared" si="289"/>
        <v>0</v>
      </c>
      <c r="AP59" s="2354">
        <f t="shared" si="289"/>
        <v>0</v>
      </c>
      <c r="AQ59" s="2354">
        <f t="shared" si="289"/>
        <v>0</v>
      </c>
      <c r="AR59" s="2354">
        <f t="shared" si="289"/>
        <v>0</v>
      </c>
      <c r="AS59" s="2354">
        <f t="shared" si="289"/>
        <v>0</v>
      </c>
      <c r="AT59" s="2354">
        <f t="shared" si="289"/>
        <v>0</v>
      </c>
      <c r="AU59" s="2354">
        <f t="shared" si="289"/>
        <v>0</v>
      </c>
      <c r="AV59" s="2354">
        <f t="shared" si="289"/>
        <v>0</v>
      </c>
      <c r="AW59" s="2354">
        <f t="shared" si="289"/>
        <v>0</v>
      </c>
      <c r="AX59" s="2354">
        <f t="shared" si="289"/>
        <v>0</v>
      </c>
      <c r="AY59" s="2354">
        <f t="shared" si="289"/>
        <v>0</v>
      </c>
      <c r="AZ59" s="2354">
        <f t="shared" si="289"/>
        <v>0</v>
      </c>
      <c r="BA59" s="2354">
        <f t="shared" si="289"/>
        <v>0</v>
      </c>
      <c r="BB59" s="2354">
        <f t="shared" si="289"/>
        <v>0</v>
      </c>
      <c r="BC59" s="2354">
        <f t="shared" si="289"/>
        <v>0</v>
      </c>
      <c r="BD59" s="2354">
        <f t="shared" si="289"/>
        <v>0</v>
      </c>
      <c r="BE59" s="2354">
        <f t="shared" si="289"/>
        <v>0</v>
      </c>
      <c r="BF59" s="2354">
        <f t="shared" si="289"/>
        <v>0</v>
      </c>
      <c r="BG59" s="2354">
        <f t="shared" si="289"/>
        <v>0</v>
      </c>
      <c r="BH59" s="2354">
        <f t="shared" si="289"/>
        <v>0</v>
      </c>
      <c r="BI59" s="2354">
        <f t="shared" si="289"/>
        <v>0</v>
      </c>
      <c r="BJ59" s="2354">
        <f t="shared" si="289"/>
        <v>0</v>
      </c>
      <c r="BK59" s="2354">
        <f t="shared" si="289"/>
        <v>0</v>
      </c>
      <c r="BL59" s="2354">
        <f t="shared" si="289"/>
        <v>0</v>
      </c>
      <c r="BM59" s="2354">
        <f t="shared" si="289"/>
        <v>0</v>
      </c>
      <c r="BN59" s="2354">
        <f t="shared" si="289"/>
        <v>0</v>
      </c>
      <c r="BO59" s="2354">
        <f t="shared" ref="BO59:CG59" si="290">IF(BO15="Ja",(BO41-BO40+BO45)*0.45%,0)</f>
        <v>0</v>
      </c>
      <c r="BP59" s="2354">
        <f t="shared" si="290"/>
        <v>0</v>
      </c>
      <c r="BQ59" s="2354">
        <f t="shared" si="290"/>
        <v>0</v>
      </c>
      <c r="BR59" s="2354">
        <f t="shared" si="290"/>
        <v>0</v>
      </c>
      <c r="BS59" s="2354">
        <f t="shared" si="290"/>
        <v>0</v>
      </c>
      <c r="BT59" s="2354">
        <f t="shared" si="290"/>
        <v>0</v>
      </c>
      <c r="BU59" s="2354">
        <f t="shared" si="290"/>
        <v>0</v>
      </c>
      <c r="BV59" s="2354">
        <f t="shared" si="290"/>
        <v>0</v>
      </c>
      <c r="BW59" s="2354">
        <f t="shared" si="290"/>
        <v>0</v>
      </c>
      <c r="BX59" s="2354">
        <f t="shared" si="290"/>
        <v>0</v>
      </c>
      <c r="BY59" s="2354">
        <f t="shared" si="290"/>
        <v>0</v>
      </c>
      <c r="BZ59" s="2354">
        <f t="shared" si="290"/>
        <v>0</v>
      </c>
      <c r="CA59" s="2354">
        <f t="shared" si="290"/>
        <v>0</v>
      </c>
      <c r="CB59" s="2354">
        <f t="shared" si="290"/>
        <v>0</v>
      </c>
      <c r="CC59" s="2354">
        <f t="shared" si="290"/>
        <v>0</v>
      </c>
      <c r="CD59" s="2354">
        <f t="shared" si="290"/>
        <v>0</v>
      </c>
      <c r="CE59" s="2354">
        <f t="shared" si="290"/>
        <v>0</v>
      </c>
      <c r="CF59" s="2354">
        <f t="shared" si="290"/>
        <v>0</v>
      </c>
      <c r="CG59" s="2354">
        <f t="shared" si="290"/>
        <v>0</v>
      </c>
      <c r="CM59" s="98"/>
      <c r="CN59" s="98"/>
      <c r="CO59" s="98"/>
      <c r="CP59" s="98"/>
      <c r="CQ59" s="98"/>
      <c r="CR59" s="98"/>
      <c r="CS59" s="98"/>
      <c r="CT59" s="98"/>
      <c r="CU59" s="98"/>
      <c r="CV59" s="98"/>
      <c r="CW59" s="98"/>
      <c r="CX59" s="98"/>
      <c r="CY59" s="98"/>
      <c r="CZ59" s="98"/>
      <c r="DA59" s="98"/>
      <c r="DB59" s="98"/>
      <c r="DC59" s="98"/>
      <c r="DD59" s="98"/>
      <c r="DE59" s="98"/>
      <c r="DF59" s="98"/>
      <c r="DG59" s="98"/>
    </row>
    <row r="60" spans="1:111" ht="14" thickBot="1">
      <c r="A60" s="1586"/>
      <c r="B60" s="1411"/>
      <c r="C60" s="1587"/>
      <c r="D60" s="1411"/>
      <c r="E60" s="1411"/>
      <c r="F60" s="1411"/>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D60" s="1411"/>
      <c r="BE60" s="1411"/>
      <c r="BF60" s="1411"/>
      <c r="BG60" s="1411"/>
      <c r="BH60" s="1411"/>
      <c r="BI60" s="1411"/>
      <c r="BJ60" s="1411"/>
      <c r="BK60" s="1411"/>
      <c r="BL60" s="1411"/>
      <c r="BM60" s="1411"/>
      <c r="BN60" s="1411"/>
      <c r="BO60" s="1411"/>
      <c r="BP60" s="1411"/>
      <c r="BQ60" s="1411"/>
      <c r="BR60" s="1411"/>
      <c r="BS60" s="1411"/>
      <c r="BT60" s="1411"/>
      <c r="BU60" s="1411"/>
      <c r="BV60" s="1411"/>
      <c r="BW60" s="1411"/>
      <c r="BX60" s="1411"/>
      <c r="BY60" s="1411"/>
      <c r="BZ60" s="1411"/>
      <c r="CA60" s="1411"/>
      <c r="CB60" s="1411"/>
      <c r="CC60" s="1411"/>
      <c r="CD60" s="1411"/>
      <c r="CE60" s="1411"/>
      <c r="CF60" s="1411"/>
      <c r="CG60" s="1411"/>
    </row>
    <row r="61" spans="1:111" ht="24.75" customHeight="1">
      <c r="A61" s="2952" t="s">
        <v>1350</v>
      </c>
      <c r="B61" s="2953"/>
      <c r="C61" s="2392"/>
      <c r="D61" s="2393"/>
      <c r="E61" s="2394"/>
      <c r="F61" s="2394"/>
      <c r="G61" s="2394"/>
      <c r="H61" s="2394"/>
      <c r="I61" s="2394"/>
      <c r="J61" s="2394"/>
      <c r="K61" s="2394"/>
      <c r="L61" s="2394"/>
      <c r="M61" s="2394"/>
      <c r="N61" s="2394"/>
      <c r="O61" s="2394"/>
      <c r="P61" s="2394"/>
      <c r="Q61" s="2394"/>
      <c r="R61" s="2394"/>
      <c r="S61" s="2394"/>
      <c r="T61" s="2394"/>
      <c r="U61" s="2394"/>
      <c r="V61" s="2394"/>
      <c r="W61" s="2394"/>
      <c r="X61" s="2394"/>
      <c r="Y61" s="2394"/>
      <c r="Z61" s="2394"/>
      <c r="AA61" s="2394"/>
      <c r="AB61" s="2394"/>
      <c r="AC61" s="2394"/>
      <c r="AD61" s="2394"/>
      <c r="AE61" s="2394"/>
      <c r="AF61" s="2394"/>
      <c r="AG61" s="2394"/>
      <c r="AH61" s="2394"/>
      <c r="AI61" s="2394"/>
      <c r="AJ61" s="2394"/>
      <c r="AK61" s="2394"/>
      <c r="AL61" s="2394"/>
      <c r="AM61" s="2394"/>
      <c r="AN61" s="2394"/>
      <c r="AO61" s="2394"/>
      <c r="AP61" s="2394"/>
      <c r="AQ61" s="2394"/>
      <c r="AR61" s="2394"/>
      <c r="AS61" s="2394"/>
      <c r="AT61" s="2394"/>
      <c r="AU61" s="2394"/>
      <c r="AV61" s="2394"/>
      <c r="AW61" s="2394"/>
      <c r="AX61" s="2394"/>
      <c r="AY61" s="2394"/>
      <c r="AZ61" s="2394"/>
      <c r="BA61" s="2394"/>
      <c r="BB61" s="2394"/>
      <c r="BC61" s="2394"/>
      <c r="BD61" s="2394"/>
      <c r="BE61" s="2394"/>
      <c r="BF61" s="2394"/>
      <c r="BG61" s="2394"/>
      <c r="BH61" s="2394"/>
      <c r="BI61" s="2394"/>
      <c r="BJ61" s="2394"/>
      <c r="BK61" s="2394"/>
      <c r="BL61" s="2394"/>
      <c r="BM61" s="2394"/>
      <c r="BN61" s="2394"/>
      <c r="BO61" s="2394"/>
      <c r="BP61" s="2394"/>
      <c r="BQ61" s="2394"/>
      <c r="BR61" s="2394"/>
      <c r="BS61" s="2394"/>
      <c r="BT61" s="2394"/>
      <c r="BU61" s="2394"/>
      <c r="BV61" s="2394"/>
      <c r="BW61" s="2394"/>
      <c r="BX61" s="2394"/>
      <c r="BY61" s="2394"/>
      <c r="BZ61" s="2394"/>
      <c r="CA61" s="2394"/>
      <c r="CB61" s="2394"/>
      <c r="CC61" s="2394"/>
      <c r="CD61" s="2394"/>
      <c r="CE61" s="2394"/>
      <c r="CF61" s="2394"/>
      <c r="CG61" s="2394"/>
    </row>
    <row r="62" spans="1:111" ht="25" customHeight="1">
      <c r="A62" s="1588">
        <v>1</v>
      </c>
      <c r="B62" s="2422" t="s">
        <v>1485</v>
      </c>
      <c r="C62" s="1589"/>
      <c r="D62" s="1463"/>
      <c r="E62" s="1464"/>
      <c r="F62" s="1464"/>
      <c r="G62" s="1464"/>
      <c r="H62" s="1464"/>
      <c r="I62" s="1464"/>
      <c r="J62" s="1464"/>
      <c r="K62" s="1464"/>
      <c r="L62" s="1464"/>
      <c r="M62" s="1464"/>
      <c r="N62" s="1464"/>
      <c r="O62" s="1464"/>
      <c r="P62" s="1464"/>
      <c r="Q62" s="1464"/>
      <c r="R62" s="1464"/>
      <c r="S62" s="1464"/>
      <c r="T62" s="1464"/>
      <c r="U62" s="1464"/>
      <c r="V62" s="1464"/>
      <c r="W62" s="1464"/>
      <c r="X62" s="1464"/>
      <c r="Y62" s="1464"/>
      <c r="Z62" s="1464"/>
      <c r="AA62" s="1464"/>
      <c r="AB62" s="1464"/>
      <c r="AC62" s="1464"/>
      <c r="AD62" s="1464"/>
      <c r="AE62" s="1464"/>
      <c r="AF62" s="1464"/>
      <c r="AG62" s="1464"/>
      <c r="AH62" s="1464"/>
      <c r="AI62" s="1464"/>
      <c r="AJ62" s="1464"/>
      <c r="AK62" s="1464"/>
      <c r="AL62" s="1464"/>
      <c r="AM62" s="1464"/>
      <c r="AN62" s="1464"/>
      <c r="AO62" s="1464"/>
      <c r="AP62" s="1464"/>
      <c r="AQ62" s="1464"/>
      <c r="AR62" s="1464"/>
      <c r="AS62" s="1464"/>
      <c r="AT62" s="1464"/>
      <c r="AU62" s="1464"/>
      <c r="AV62" s="1464"/>
      <c r="AW62" s="1464"/>
      <c r="AX62" s="1464"/>
      <c r="AY62" s="1464"/>
      <c r="AZ62" s="1464"/>
      <c r="BA62" s="1464"/>
      <c r="BB62" s="1464"/>
      <c r="BC62" s="1464"/>
      <c r="BD62" s="1464"/>
      <c r="BE62" s="1464"/>
      <c r="BF62" s="1464"/>
      <c r="BG62" s="1464"/>
      <c r="BH62" s="1464"/>
      <c r="BI62" s="1464"/>
      <c r="BJ62" s="1464"/>
      <c r="BK62" s="1464"/>
      <c r="BL62" s="1464"/>
      <c r="BM62" s="1464"/>
      <c r="BN62" s="1464"/>
      <c r="BO62" s="1464"/>
      <c r="BP62" s="1464"/>
      <c r="BQ62" s="1464"/>
      <c r="BR62" s="1464"/>
      <c r="BS62" s="1464"/>
      <c r="BT62" s="1464"/>
      <c r="BU62" s="1464"/>
      <c r="BV62" s="1464"/>
      <c r="BW62" s="1464"/>
      <c r="BX62" s="1464"/>
      <c r="BY62" s="1464"/>
      <c r="BZ62" s="1464"/>
      <c r="CA62" s="1464"/>
      <c r="CB62" s="1464"/>
      <c r="CC62" s="1464"/>
      <c r="CD62" s="1464"/>
      <c r="CE62" s="1464"/>
      <c r="CF62" s="1464"/>
      <c r="CG62" s="1464"/>
    </row>
    <row r="63" spans="1:111">
      <c r="A63" s="1590">
        <v>2</v>
      </c>
      <c r="B63" s="1591" t="s">
        <v>1479</v>
      </c>
      <c r="C63" s="1589"/>
      <c r="D63" s="1463"/>
      <c r="E63" s="1464"/>
      <c r="F63" s="1464"/>
      <c r="G63" s="1464"/>
      <c r="H63" s="1464"/>
      <c r="I63" s="1464"/>
      <c r="J63" s="1464"/>
      <c r="K63" s="1464"/>
      <c r="L63" s="1464"/>
      <c r="M63" s="1464"/>
      <c r="N63" s="1464"/>
      <c r="O63" s="1464"/>
      <c r="P63" s="1464"/>
      <c r="Q63" s="1464"/>
      <c r="R63" s="1464"/>
      <c r="S63" s="1464"/>
      <c r="T63" s="1464"/>
      <c r="U63" s="1464"/>
      <c r="V63" s="1464"/>
      <c r="W63" s="1464"/>
      <c r="X63" s="1464"/>
      <c r="Y63" s="1464"/>
      <c r="Z63" s="1464"/>
      <c r="AA63" s="1464"/>
      <c r="AB63" s="1464"/>
      <c r="AC63" s="1464"/>
      <c r="AD63" s="1464"/>
      <c r="AE63" s="1464"/>
      <c r="AF63" s="1464"/>
      <c r="AG63" s="1464"/>
      <c r="AH63" s="1464"/>
      <c r="AI63" s="1464"/>
      <c r="AJ63" s="1464"/>
      <c r="AK63" s="1464"/>
      <c r="AL63" s="1464"/>
      <c r="AM63" s="1464"/>
      <c r="AN63" s="1464"/>
      <c r="AO63" s="1464"/>
      <c r="AP63" s="1464"/>
      <c r="AQ63" s="1464"/>
      <c r="AR63" s="1464"/>
      <c r="AS63" s="1464"/>
      <c r="AT63" s="1464"/>
      <c r="AU63" s="1464"/>
      <c r="AV63" s="1464"/>
      <c r="AW63" s="1464"/>
      <c r="AX63" s="1464"/>
      <c r="AY63" s="1464"/>
      <c r="AZ63" s="1464"/>
      <c r="BA63" s="1464"/>
      <c r="BB63" s="1464"/>
      <c r="BC63" s="1464"/>
      <c r="BD63" s="1464"/>
      <c r="BE63" s="1464"/>
      <c r="BF63" s="1464"/>
      <c r="BG63" s="1464"/>
      <c r="BH63" s="1464"/>
      <c r="BI63" s="1464"/>
      <c r="BJ63" s="1464"/>
      <c r="BK63" s="1464"/>
      <c r="BL63" s="1464"/>
      <c r="BM63" s="1464"/>
      <c r="BN63" s="1464"/>
      <c r="BO63" s="1464"/>
      <c r="BP63" s="1464"/>
      <c r="BQ63" s="1464"/>
      <c r="BR63" s="1464"/>
      <c r="BS63" s="1464"/>
      <c r="BT63" s="1464"/>
      <c r="BU63" s="1464"/>
      <c r="BV63" s="1464"/>
      <c r="BW63" s="1464"/>
      <c r="BX63" s="1464"/>
      <c r="BY63" s="1464"/>
      <c r="BZ63" s="1464"/>
      <c r="CA63" s="1464"/>
      <c r="CB63" s="1464"/>
      <c r="CC63" s="1464"/>
      <c r="CD63" s="1464"/>
      <c r="CE63" s="1464"/>
      <c r="CF63" s="1464"/>
      <c r="CG63" s="1464"/>
    </row>
    <row r="64" spans="1:111">
      <c r="A64" s="1590">
        <v>3</v>
      </c>
      <c r="B64" s="1591" t="s">
        <v>1480</v>
      </c>
      <c r="C64" s="1589"/>
      <c r="D64" s="1463"/>
      <c r="E64" s="1464"/>
      <c r="F64" s="1464"/>
      <c r="G64" s="1464"/>
      <c r="H64" s="1464"/>
      <c r="I64" s="1464"/>
      <c r="J64" s="1464"/>
      <c r="K64" s="1464"/>
      <c r="L64" s="1464"/>
      <c r="M64" s="1464"/>
      <c r="N64" s="1464"/>
      <c r="O64" s="1464"/>
      <c r="P64" s="1464"/>
      <c r="Q64" s="1464"/>
      <c r="R64" s="1464"/>
      <c r="S64" s="1464"/>
      <c r="T64" s="1464"/>
      <c r="U64" s="1464"/>
      <c r="V64" s="1464"/>
      <c r="W64" s="1464"/>
      <c r="X64" s="1464"/>
      <c r="Y64" s="1464"/>
      <c r="Z64" s="1464"/>
      <c r="AA64" s="1464"/>
      <c r="AB64" s="1464"/>
      <c r="AC64" s="1464"/>
      <c r="AD64" s="1464"/>
      <c r="AE64" s="1464"/>
      <c r="AF64" s="1464"/>
      <c r="AG64" s="1464"/>
      <c r="AH64" s="1464"/>
      <c r="AI64" s="1464"/>
      <c r="AJ64" s="1464"/>
      <c r="AK64" s="1464"/>
      <c r="AL64" s="1464"/>
      <c r="AM64" s="1464"/>
      <c r="AN64" s="1464"/>
      <c r="AO64" s="1464"/>
      <c r="AP64" s="1464"/>
      <c r="AQ64" s="1464"/>
      <c r="AR64" s="1464"/>
      <c r="AS64" s="1464"/>
      <c r="AT64" s="1464"/>
      <c r="AU64" s="1464"/>
      <c r="AV64" s="1464"/>
      <c r="AW64" s="1464"/>
      <c r="AX64" s="1464"/>
      <c r="AY64" s="1464"/>
      <c r="AZ64" s="1464"/>
      <c r="BA64" s="1464"/>
      <c r="BB64" s="1464"/>
      <c r="BC64" s="1464"/>
      <c r="BD64" s="1464"/>
      <c r="BE64" s="1464"/>
      <c r="BF64" s="1464"/>
      <c r="BG64" s="1464"/>
      <c r="BH64" s="1464"/>
      <c r="BI64" s="1464"/>
      <c r="BJ64" s="1464"/>
      <c r="BK64" s="1464"/>
      <c r="BL64" s="1464"/>
      <c r="BM64" s="1464"/>
      <c r="BN64" s="1464"/>
      <c r="BO64" s="1464"/>
      <c r="BP64" s="1464"/>
      <c r="BQ64" s="1464"/>
      <c r="BR64" s="1464"/>
      <c r="BS64" s="1464"/>
      <c r="BT64" s="1464"/>
      <c r="BU64" s="1464"/>
      <c r="BV64" s="1464"/>
      <c r="BW64" s="1464"/>
      <c r="BX64" s="1464"/>
      <c r="BY64" s="1464"/>
      <c r="BZ64" s="1464"/>
      <c r="CA64" s="1464"/>
      <c r="CB64" s="1464"/>
      <c r="CC64" s="1464"/>
      <c r="CD64" s="1464"/>
      <c r="CE64" s="1464"/>
      <c r="CF64" s="1464"/>
      <c r="CG64" s="1464"/>
      <c r="CS64" s="1163"/>
      <c r="CT64" s="1163"/>
      <c r="CU64" s="1163"/>
    </row>
    <row r="65" spans="1:111">
      <c r="A65" s="1590">
        <v>4</v>
      </c>
      <c r="B65" s="1591" t="s">
        <v>1481</v>
      </c>
      <c r="C65" s="1589"/>
      <c r="D65" s="1463"/>
      <c r="E65" s="1464"/>
      <c r="F65" s="1464"/>
      <c r="G65" s="1464"/>
      <c r="H65" s="1464"/>
      <c r="I65" s="1464"/>
      <c r="J65" s="1464"/>
      <c r="K65" s="1464"/>
      <c r="L65" s="1464"/>
      <c r="M65" s="1464"/>
      <c r="N65" s="1464"/>
      <c r="O65" s="1464"/>
      <c r="P65" s="1464"/>
      <c r="Q65" s="1464"/>
      <c r="R65" s="1464"/>
      <c r="S65" s="1464"/>
      <c r="T65" s="1464"/>
      <c r="U65" s="1464"/>
      <c r="V65" s="1464"/>
      <c r="W65" s="1464"/>
      <c r="X65" s="1464"/>
      <c r="Y65" s="1464"/>
      <c r="Z65" s="1464"/>
      <c r="AA65" s="1464"/>
      <c r="AB65" s="1464"/>
      <c r="AC65" s="1464"/>
      <c r="AD65" s="1464"/>
      <c r="AE65" s="1464"/>
      <c r="AF65" s="1464"/>
      <c r="AG65" s="1464"/>
      <c r="AH65" s="1464"/>
      <c r="AI65" s="1464"/>
      <c r="AJ65" s="1464"/>
      <c r="AK65" s="1464"/>
      <c r="AL65" s="1464"/>
      <c r="AM65" s="1464"/>
      <c r="AN65" s="1464"/>
      <c r="AO65" s="1464"/>
      <c r="AP65" s="1464"/>
      <c r="AQ65" s="1464"/>
      <c r="AR65" s="1464"/>
      <c r="AS65" s="1464"/>
      <c r="AT65" s="1464"/>
      <c r="AU65" s="1464"/>
      <c r="AV65" s="1464"/>
      <c r="AW65" s="1464"/>
      <c r="AX65" s="1464"/>
      <c r="AY65" s="1464"/>
      <c r="AZ65" s="1464"/>
      <c r="BA65" s="1464"/>
      <c r="BB65" s="1464"/>
      <c r="BC65" s="1464"/>
      <c r="BD65" s="1464"/>
      <c r="BE65" s="1464"/>
      <c r="BF65" s="1464"/>
      <c r="BG65" s="1464"/>
      <c r="BH65" s="1464"/>
      <c r="BI65" s="1464"/>
      <c r="BJ65" s="1464"/>
      <c r="BK65" s="1464"/>
      <c r="BL65" s="1464"/>
      <c r="BM65" s="1464"/>
      <c r="BN65" s="1464"/>
      <c r="BO65" s="1464"/>
      <c r="BP65" s="1464"/>
      <c r="BQ65" s="1464"/>
      <c r="BR65" s="1464"/>
      <c r="BS65" s="1464"/>
      <c r="BT65" s="1464"/>
      <c r="BU65" s="1464"/>
      <c r="BV65" s="1464"/>
      <c r="BW65" s="1464"/>
      <c r="BX65" s="1464"/>
      <c r="BY65" s="1464"/>
      <c r="BZ65" s="1464"/>
      <c r="CA65" s="1464"/>
      <c r="CB65" s="1464"/>
      <c r="CC65" s="1464"/>
      <c r="CD65" s="1464"/>
      <c r="CE65" s="1464"/>
      <c r="CF65" s="1464"/>
      <c r="CG65" s="1464"/>
    </row>
    <row r="66" spans="1:111">
      <c r="A66" s="1590">
        <v>5</v>
      </c>
      <c r="B66" s="1591" t="s">
        <v>1317</v>
      </c>
      <c r="C66" s="1589"/>
      <c r="D66" s="1463"/>
      <c r="E66" s="1464"/>
      <c r="F66" s="1464"/>
      <c r="G66" s="1464"/>
      <c r="H66" s="1464"/>
      <c r="I66" s="1464"/>
      <c r="J66" s="1464"/>
      <c r="K66" s="1464"/>
      <c r="L66" s="1464"/>
      <c r="M66" s="1464"/>
      <c r="N66" s="1464"/>
      <c r="O66" s="1464"/>
      <c r="P66" s="1464"/>
      <c r="Q66" s="1464"/>
      <c r="R66" s="1464"/>
      <c r="S66" s="1464"/>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c r="AV66" s="1464"/>
      <c r="AW66" s="1464"/>
      <c r="AX66" s="1464"/>
      <c r="AY66" s="1464"/>
      <c r="AZ66" s="1464"/>
      <c r="BA66" s="1464"/>
      <c r="BB66" s="1464"/>
      <c r="BC66" s="1464"/>
      <c r="BD66" s="1464"/>
      <c r="BE66" s="1464"/>
      <c r="BF66" s="1464"/>
      <c r="BG66" s="1464"/>
      <c r="BH66" s="1464"/>
      <c r="BI66" s="1464"/>
      <c r="BJ66" s="1464"/>
      <c r="BK66" s="1464"/>
      <c r="BL66" s="1464"/>
      <c r="BM66" s="1464"/>
      <c r="BN66" s="1464"/>
      <c r="BO66" s="1464"/>
      <c r="BP66" s="1464"/>
      <c r="BQ66" s="1464"/>
      <c r="BR66" s="1464"/>
      <c r="BS66" s="1464"/>
      <c r="BT66" s="1464"/>
      <c r="BU66" s="1464"/>
      <c r="BV66" s="1464"/>
      <c r="BW66" s="1464"/>
      <c r="BX66" s="1464"/>
      <c r="BY66" s="1464"/>
      <c r="BZ66" s="1464"/>
      <c r="CA66" s="1464"/>
      <c r="CB66" s="1464"/>
      <c r="CC66" s="1464"/>
      <c r="CD66" s="1464"/>
      <c r="CE66" s="1464"/>
      <c r="CF66" s="1464"/>
      <c r="CG66" s="1464"/>
    </row>
    <row r="67" spans="1:111">
      <c r="A67" s="1590">
        <v>6</v>
      </c>
      <c r="B67" s="1592" t="s">
        <v>1251</v>
      </c>
      <c r="C67" s="1589"/>
      <c r="D67" s="1463"/>
      <c r="E67" s="1464"/>
      <c r="F67" s="1464"/>
      <c r="G67" s="1464"/>
      <c r="H67" s="1464"/>
      <c r="I67" s="1464"/>
      <c r="J67" s="1464"/>
      <c r="K67" s="1464"/>
      <c r="L67" s="1464"/>
      <c r="M67" s="1464"/>
      <c r="N67" s="1464"/>
      <c r="O67" s="1464"/>
      <c r="P67" s="1464"/>
      <c r="Q67" s="1464"/>
      <c r="R67" s="1464"/>
      <c r="S67" s="1464"/>
      <c r="T67" s="1464"/>
      <c r="U67" s="1464"/>
      <c r="V67" s="1464"/>
      <c r="W67" s="1464"/>
      <c r="X67" s="1464"/>
      <c r="Y67" s="1464"/>
      <c r="Z67" s="1464"/>
      <c r="AA67" s="1464"/>
      <c r="AB67" s="1464"/>
      <c r="AC67" s="1464"/>
      <c r="AD67" s="1464"/>
      <c r="AE67" s="1464"/>
      <c r="AF67" s="1464"/>
      <c r="AG67" s="1464"/>
      <c r="AH67" s="1464"/>
      <c r="AI67" s="1464"/>
      <c r="AJ67" s="1464"/>
      <c r="AK67" s="1464"/>
      <c r="AL67" s="1464"/>
      <c r="AM67" s="1464"/>
      <c r="AN67" s="1464"/>
      <c r="AO67" s="1464"/>
      <c r="AP67" s="1464"/>
      <c r="AQ67" s="1464"/>
      <c r="AR67" s="1464"/>
      <c r="AS67" s="1464"/>
      <c r="AT67" s="1464"/>
      <c r="AU67" s="1464"/>
      <c r="AV67" s="1464"/>
      <c r="AW67" s="1464"/>
      <c r="AX67" s="1464"/>
      <c r="AY67" s="1464"/>
      <c r="AZ67" s="1464"/>
      <c r="BA67" s="1464"/>
      <c r="BB67" s="1464"/>
      <c r="BC67" s="1464"/>
      <c r="BD67" s="1464"/>
      <c r="BE67" s="1464"/>
      <c r="BF67" s="1464"/>
      <c r="BG67" s="1464"/>
      <c r="BH67" s="1464"/>
      <c r="BI67" s="1464"/>
      <c r="BJ67" s="1464"/>
      <c r="BK67" s="1464"/>
      <c r="BL67" s="1464"/>
      <c r="BM67" s="1464"/>
      <c r="BN67" s="1464"/>
      <c r="BO67" s="1464"/>
      <c r="BP67" s="1464"/>
      <c r="BQ67" s="1464"/>
      <c r="BR67" s="1464"/>
      <c r="BS67" s="1464"/>
      <c r="BT67" s="1464"/>
      <c r="BU67" s="1464"/>
      <c r="BV67" s="1464"/>
      <c r="BW67" s="1464"/>
      <c r="BX67" s="1464"/>
      <c r="BY67" s="1464"/>
      <c r="BZ67" s="1464"/>
      <c r="CA67" s="1464"/>
      <c r="CB67" s="1464"/>
      <c r="CC67" s="1464"/>
      <c r="CD67" s="1464"/>
      <c r="CE67" s="1464"/>
      <c r="CF67" s="1464"/>
      <c r="CG67" s="1464"/>
    </row>
    <row r="68" spans="1:111" ht="14" thickBot="1">
      <c r="A68" s="1590">
        <v>7</v>
      </c>
      <c r="B68" s="1592" t="s">
        <v>915</v>
      </c>
      <c r="C68" s="1589"/>
      <c r="D68" s="1463"/>
      <c r="E68" s="1464"/>
      <c r="F68" s="1464"/>
      <c r="G68" s="1464"/>
      <c r="H68" s="1464"/>
      <c r="I68" s="1464"/>
      <c r="J68" s="1464"/>
      <c r="K68" s="1464"/>
      <c r="L68" s="1464"/>
      <c r="M68" s="1464"/>
      <c r="N68" s="1464"/>
      <c r="O68" s="1464"/>
      <c r="P68" s="1464"/>
      <c r="Q68" s="1464"/>
      <c r="R68" s="1464"/>
      <c r="S68" s="1464"/>
      <c r="T68" s="1464"/>
      <c r="U68" s="1464"/>
      <c r="V68" s="1464"/>
      <c r="W68" s="1464"/>
      <c r="X68" s="1464"/>
      <c r="Y68" s="1464"/>
      <c r="Z68" s="1464"/>
      <c r="AA68" s="1464"/>
      <c r="AB68" s="1464"/>
      <c r="AC68" s="1464"/>
      <c r="AD68" s="1464"/>
      <c r="AE68" s="1464"/>
      <c r="AF68" s="1464"/>
      <c r="AG68" s="1464"/>
      <c r="AH68" s="1464"/>
      <c r="AI68" s="1464"/>
      <c r="AJ68" s="1464"/>
      <c r="AK68" s="1464"/>
      <c r="AL68" s="1464"/>
      <c r="AM68" s="1464"/>
      <c r="AN68" s="1464"/>
      <c r="AO68" s="1464"/>
      <c r="AP68" s="1464"/>
      <c r="AQ68" s="1464"/>
      <c r="AR68" s="1464"/>
      <c r="AS68" s="1464"/>
      <c r="AT68" s="1464"/>
      <c r="AU68" s="1464"/>
      <c r="AV68" s="1464"/>
      <c r="AW68" s="1464"/>
      <c r="AX68" s="1464"/>
      <c r="AY68" s="1464"/>
      <c r="AZ68" s="1464"/>
      <c r="BA68" s="1464"/>
      <c r="BB68" s="1464"/>
      <c r="BC68" s="1464"/>
      <c r="BD68" s="1464"/>
      <c r="BE68" s="1464"/>
      <c r="BF68" s="1464"/>
      <c r="BG68" s="1464"/>
      <c r="BH68" s="1464"/>
      <c r="BI68" s="1464"/>
      <c r="BJ68" s="1464"/>
      <c r="BK68" s="1464"/>
      <c r="BL68" s="1464"/>
      <c r="BM68" s="1464"/>
      <c r="BN68" s="1464"/>
      <c r="BO68" s="1464"/>
      <c r="BP68" s="1464"/>
      <c r="BQ68" s="1464"/>
      <c r="BR68" s="1464"/>
      <c r="BS68" s="1464"/>
      <c r="BT68" s="1464"/>
      <c r="BU68" s="1464"/>
      <c r="BV68" s="1464"/>
      <c r="BW68" s="1464"/>
      <c r="BX68" s="1464"/>
      <c r="BY68" s="1464"/>
      <c r="BZ68" s="1464"/>
      <c r="CA68" s="1464"/>
      <c r="CB68" s="1464"/>
      <c r="CC68" s="1464"/>
      <c r="CD68" s="1464"/>
      <c r="CE68" s="1464"/>
      <c r="CF68" s="1464"/>
      <c r="CG68" s="1464"/>
    </row>
    <row r="69" spans="1:111" ht="14" thickBot="1">
      <c r="A69" s="1593"/>
      <c r="B69" s="1691" t="str">
        <f>"Samlede lønrefusioner pr. år "&amp;budgetår</f>
        <v>Samlede lønrefusioner pr. år 2024</v>
      </c>
      <c r="C69" s="1594">
        <f t="shared" ref="C69:AG69" si="291">SUM(C62:C68)</f>
        <v>0</v>
      </c>
      <c r="D69" s="1595">
        <f t="shared" si="291"/>
        <v>0</v>
      </c>
      <c r="E69" s="1596">
        <f t="shared" si="291"/>
        <v>0</v>
      </c>
      <c r="F69" s="1596">
        <f t="shared" si="291"/>
        <v>0</v>
      </c>
      <c r="G69" s="1596">
        <f t="shared" ref="G69" si="292">SUM(G62:G68)</f>
        <v>0</v>
      </c>
      <c r="H69" s="1596">
        <f t="shared" si="291"/>
        <v>0</v>
      </c>
      <c r="I69" s="1596">
        <f t="shared" si="291"/>
        <v>0</v>
      </c>
      <c r="J69" s="1596">
        <f t="shared" ref="J69" si="293">SUM(J62:J68)</f>
        <v>0</v>
      </c>
      <c r="K69" s="1596">
        <f t="shared" si="291"/>
        <v>0</v>
      </c>
      <c r="L69" s="1596">
        <f t="shared" si="291"/>
        <v>0</v>
      </c>
      <c r="M69" s="1596">
        <f t="shared" si="291"/>
        <v>0</v>
      </c>
      <c r="N69" s="1596">
        <f t="shared" si="291"/>
        <v>0</v>
      </c>
      <c r="O69" s="1596">
        <f t="shared" si="291"/>
        <v>0</v>
      </c>
      <c r="P69" s="1596">
        <f t="shared" si="291"/>
        <v>0</v>
      </c>
      <c r="Q69" s="1596">
        <f t="shared" si="291"/>
        <v>0</v>
      </c>
      <c r="R69" s="1596">
        <f t="shared" si="291"/>
        <v>0</v>
      </c>
      <c r="S69" s="1596">
        <f t="shared" si="291"/>
        <v>0</v>
      </c>
      <c r="T69" s="1596">
        <f t="shared" si="291"/>
        <v>0</v>
      </c>
      <c r="U69" s="1596">
        <f t="shared" si="291"/>
        <v>0</v>
      </c>
      <c r="V69" s="1596">
        <f t="shared" si="291"/>
        <v>0</v>
      </c>
      <c r="W69" s="1596">
        <f t="shared" si="291"/>
        <v>0</v>
      </c>
      <c r="X69" s="1596">
        <f t="shared" si="291"/>
        <v>0</v>
      </c>
      <c r="Y69" s="1596">
        <f t="shared" si="291"/>
        <v>0</v>
      </c>
      <c r="Z69" s="1596">
        <f t="shared" si="291"/>
        <v>0</v>
      </c>
      <c r="AA69" s="1596">
        <f t="shared" si="291"/>
        <v>0</v>
      </c>
      <c r="AB69" s="1596">
        <f t="shared" si="291"/>
        <v>0</v>
      </c>
      <c r="AC69" s="1596">
        <f t="shared" si="291"/>
        <v>0</v>
      </c>
      <c r="AD69" s="1596">
        <f t="shared" si="291"/>
        <v>0</v>
      </c>
      <c r="AE69" s="1596">
        <f t="shared" si="291"/>
        <v>0</v>
      </c>
      <c r="AF69" s="1596">
        <f t="shared" si="291"/>
        <v>0</v>
      </c>
      <c r="AG69" s="1596">
        <f t="shared" si="291"/>
        <v>0</v>
      </c>
      <c r="AH69" s="1596">
        <f t="shared" ref="AH69:AU69" si="294">SUM(AH62:AH68)</f>
        <v>0</v>
      </c>
      <c r="AI69" s="1596">
        <f t="shared" si="294"/>
        <v>0</v>
      </c>
      <c r="AJ69" s="1596">
        <f t="shared" si="294"/>
        <v>0</v>
      </c>
      <c r="AK69" s="1596">
        <f>SUM(AK62:AK68)</f>
        <v>0</v>
      </c>
      <c r="AL69" s="1596">
        <f t="shared" si="294"/>
        <v>0</v>
      </c>
      <c r="AM69" s="1596">
        <f>SUM(AM62:AM68)</f>
        <v>0</v>
      </c>
      <c r="AN69" s="1596">
        <f t="shared" si="294"/>
        <v>0</v>
      </c>
      <c r="AO69" s="1596">
        <f>SUM(AO62:AO68)</f>
        <v>0</v>
      </c>
      <c r="AP69" s="1596">
        <f t="shared" si="294"/>
        <v>0</v>
      </c>
      <c r="AQ69" s="1596">
        <f>SUM(AQ62:AQ68)</f>
        <v>0</v>
      </c>
      <c r="AR69" s="1596">
        <f>SUM(AR62:AR68)</f>
        <v>0</v>
      </c>
      <c r="AS69" s="1596">
        <f t="shared" si="294"/>
        <v>0</v>
      </c>
      <c r="AT69" s="1596">
        <f t="shared" si="294"/>
        <v>0</v>
      </c>
      <c r="AU69" s="1596">
        <f t="shared" si="294"/>
        <v>0</v>
      </c>
      <c r="AV69" s="1596">
        <f t="shared" ref="AV69" si="295">SUM(AV62:AV68)</f>
        <v>0</v>
      </c>
      <c r="AW69" s="1596">
        <f>SUM(AW62:AW68)</f>
        <v>0</v>
      </c>
      <c r="AX69" s="1596">
        <f t="shared" ref="AX69" si="296">SUM(AX62:AX68)</f>
        <v>0</v>
      </c>
      <c r="AY69" s="1596">
        <f>SUM(AY62:AY68)</f>
        <v>0</v>
      </c>
      <c r="AZ69" s="1596">
        <f t="shared" ref="AZ69" si="297">SUM(AZ62:AZ68)</f>
        <v>0</v>
      </c>
      <c r="BA69" s="1596">
        <f>SUM(BA62:BA68)</f>
        <v>0</v>
      </c>
      <c r="BB69" s="1596">
        <f t="shared" ref="BB69" si="298">SUM(BB62:BB68)</f>
        <v>0</v>
      </c>
      <c r="BC69" s="1596">
        <f>SUM(BC62:BC68)</f>
        <v>0</v>
      </c>
      <c r="BD69" s="1596">
        <f>SUM(BD62:BD68)</f>
        <v>0</v>
      </c>
      <c r="BE69" s="1596">
        <f t="shared" ref="BE69:BG69" si="299">SUM(BE62:BE68)</f>
        <v>0</v>
      </c>
      <c r="BF69" s="1596">
        <f t="shared" si="299"/>
        <v>0</v>
      </c>
      <c r="BG69" s="1596">
        <f t="shared" si="299"/>
        <v>0</v>
      </c>
      <c r="BH69" s="1596">
        <f t="shared" ref="BH69:CG69" si="300">SUM(BH62:BH68)</f>
        <v>0</v>
      </c>
      <c r="BI69" s="1596">
        <f t="shared" si="300"/>
        <v>0</v>
      </c>
      <c r="BJ69" s="1596">
        <f t="shared" si="300"/>
        <v>0</v>
      </c>
      <c r="BK69" s="1596">
        <f t="shared" si="300"/>
        <v>0</v>
      </c>
      <c r="BL69" s="1596">
        <f t="shared" si="300"/>
        <v>0</v>
      </c>
      <c r="BM69" s="1596">
        <f t="shared" si="300"/>
        <v>0</v>
      </c>
      <c r="BN69" s="1597">
        <f t="shared" si="300"/>
        <v>0</v>
      </c>
      <c r="BO69" s="1597">
        <f t="shared" ref="BO69" si="301">SUM(BO62:BO68)</f>
        <v>0</v>
      </c>
      <c r="BP69" s="1598">
        <f t="shared" si="300"/>
        <v>0</v>
      </c>
      <c r="BQ69" s="1598">
        <f t="shared" ref="BQ69" si="302">SUM(BQ62:BQ68)</f>
        <v>0</v>
      </c>
      <c r="BR69" s="1598">
        <f t="shared" ref="BR69:BT69" si="303">SUM(BR62:BR68)</f>
        <v>0</v>
      </c>
      <c r="BS69" s="1598">
        <f t="shared" ref="BS69" si="304">SUM(BS62:BS68)</f>
        <v>0</v>
      </c>
      <c r="BT69" s="1598">
        <f t="shared" si="303"/>
        <v>0</v>
      </c>
      <c r="BU69" s="1598">
        <f t="shared" ref="BU69" si="305">SUM(BU62:BU68)</f>
        <v>0</v>
      </c>
      <c r="BV69" s="1598">
        <f t="shared" si="300"/>
        <v>0</v>
      </c>
      <c r="BW69" s="1598">
        <f t="shared" si="300"/>
        <v>0</v>
      </c>
      <c r="BX69" s="1598">
        <f t="shared" si="300"/>
        <v>0</v>
      </c>
      <c r="BY69" s="1596">
        <f t="shared" si="300"/>
        <v>0</v>
      </c>
      <c r="BZ69" s="1596">
        <f t="shared" si="300"/>
        <v>0</v>
      </c>
      <c r="CA69" s="1597">
        <f t="shared" si="300"/>
        <v>0</v>
      </c>
      <c r="CB69" s="1598">
        <f t="shared" si="300"/>
        <v>0</v>
      </c>
      <c r="CC69" s="1598">
        <f t="shared" si="300"/>
        <v>0</v>
      </c>
      <c r="CD69" s="1598">
        <f t="shared" si="300"/>
        <v>0</v>
      </c>
      <c r="CE69" s="1598">
        <f t="shared" si="300"/>
        <v>0</v>
      </c>
      <c r="CF69" s="1596">
        <f t="shared" si="300"/>
        <v>0</v>
      </c>
      <c r="CG69" s="1596">
        <f t="shared" si="300"/>
        <v>0</v>
      </c>
    </row>
    <row r="70" spans="1:111" ht="16">
      <c r="A70" s="1599"/>
      <c r="B70" s="1692" t="str">
        <f>"Indtast forventede refusioner år "&amp;budgetår+1</f>
        <v>Indtast forventede refusioner år 2025</v>
      </c>
      <c r="C70" s="1589"/>
      <c r="D70" s="1463"/>
      <c r="E70" s="1464"/>
      <c r="F70" s="1464"/>
      <c r="G70" s="1464"/>
      <c r="H70" s="1464"/>
      <c r="I70" s="1464"/>
      <c r="J70" s="1464"/>
      <c r="K70" s="1464"/>
      <c r="L70" s="1464"/>
      <c r="M70" s="1464"/>
      <c r="N70" s="1464"/>
      <c r="O70" s="1464"/>
      <c r="P70" s="1464"/>
      <c r="Q70" s="1464"/>
      <c r="R70" s="1464"/>
      <c r="S70" s="1464"/>
      <c r="T70" s="1464"/>
      <c r="U70" s="1464"/>
      <c r="V70" s="1464"/>
      <c r="W70" s="1464"/>
      <c r="X70" s="1464"/>
      <c r="Y70" s="1464"/>
      <c r="Z70" s="1464"/>
      <c r="AA70" s="1464"/>
      <c r="AB70" s="1464"/>
      <c r="AC70" s="1464"/>
      <c r="AD70" s="1464"/>
      <c r="AE70" s="1464"/>
      <c r="AF70" s="1464"/>
      <c r="AG70" s="1464"/>
      <c r="AH70" s="1464"/>
      <c r="AI70" s="1464"/>
      <c r="AJ70" s="1464"/>
      <c r="AK70" s="1464"/>
      <c r="AL70" s="1464"/>
      <c r="AM70" s="1464"/>
      <c r="AN70" s="1464"/>
      <c r="AO70" s="1464"/>
      <c r="AP70" s="1464"/>
      <c r="AQ70" s="1464"/>
      <c r="AR70" s="1464"/>
      <c r="AS70" s="1464"/>
      <c r="AT70" s="1464"/>
      <c r="AU70" s="1464"/>
      <c r="AV70" s="1464"/>
      <c r="AW70" s="1464"/>
      <c r="AX70" s="1464"/>
      <c r="AY70" s="1464"/>
      <c r="AZ70" s="1464"/>
      <c r="BA70" s="1464"/>
      <c r="BB70" s="1464"/>
      <c r="BC70" s="1464"/>
      <c r="BD70" s="1464"/>
      <c r="BE70" s="1464"/>
      <c r="BF70" s="1464"/>
      <c r="BG70" s="1464"/>
      <c r="BH70" s="1464"/>
      <c r="BI70" s="1464"/>
      <c r="BJ70" s="1464"/>
      <c r="BK70" s="1464"/>
      <c r="BL70" s="1464"/>
      <c r="BM70" s="1464"/>
      <c r="BN70" s="1464"/>
      <c r="BO70" s="1464"/>
      <c r="BP70" s="1464"/>
      <c r="BQ70" s="1464"/>
      <c r="BR70" s="1464"/>
      <c r="BS70" s="1464"/>
      <c r="BT70" s="1464"/>
      <c r="BU70" s="1464"/>
      <c r="BV70" s="1464"/>
      <c r="BW70" s="1464"/>
      <c r="BX70" s="1464"/>
      <c r="BY70" s="1464"/>
      <c r="BZ70" s="1464"/>
      <c r="CA70" s="1464"/>
      <c r="CB70" s="1464"/>
      <c r="CC70" s="1464"/>
      <c r="CD70" s="1464"/>
      <c r="CE70" s="1464"/>
      <c r="CF70" s="1464"/>
      <c r="CG70" s="1464"/>
      <c r="CQ70" s="1163"/>
      <c r="CR70" s="1163"/>
      <c r="CV70" s="1163"/>
      <c r="CW70" s="1163"/>
      <c r="CX70" s="1163"/>
      <c r="CY70" s="1163"/>
      <c r="CZ70" s="1163"/>
      <c r="DA70" s="1163"/>
      <c r="DB70" s="1163"/>
      <c r="DC70" s="1163"/>
      <c r="DD70" s="1163"/>
      <c r="DE70" s="1163"/>
      <c r="DF70" s="1163"/>
      <c r="DG70" s="1163"/>
    </row>
    <row r="71" spans="1:111" ht="14" thickBot="1">
      <c r="A71" s="1600"/>
      <c r="B71" s="1583"/>
      <c r="C71" s="1693" t="str">
        <f>"I alt pr år til hovedskema "&amp;budgetår</f>
        <v>I alt pr år til hovedskema 2024</v>
      </c>
      <c r="D71" s="1694" t="str">
        <f>"I alt pr år til hovedskema "&amp;budgetår</f>
        <v>I alt pr år til hovedskema 2024</v>
      </c>
      <c r="E71" s="1694"/>
      <c r="F71" s="1694"/>
      <c r="G71" s="1694"/>
      <c r="H71" s="1694"/>
      <c r="I71" s="1694"/>
      <c r="J71" s="1694"/>
      <c r="K71" s="1694"/>
      <c r="L71" s="1694"/>
      <c r="M71" s="1694"/>
      <c r="N71" s="1694"/>
      <c r="O71" s="1694"/>
      <c r="P71" s="1695"/>
      <c r="Q71" s="1695"/>
      <c r="R71" s="1695"/>
      <c r="S71" s="1695"/>
      <c r="T71" s="1695"/>
      <c r="U71" s="1695">
        <f>SUM(C69:U69)</f>
        <v>0</v>
      </c>
      <c r="V71" s="1696" t="str">
        <f>"I alt pr år til hovedskema "&amp;budgetår</f>
        <v>I alt pr år til hovedskema 2024</v>
      </c>
      <c r="W71" s="1696" t="str">
        <f>"I alt pr år til hovedskema "&amp;budgetår</f>
        <v>I alt pr år til hovedskema 2024</v>
      </c>
      <c r="X71" s="1694"/>
      <c r="Y71" s="1694"/>
      <c r="Z71" s="1694"/>
      <c r="AA71" s="1694"/>
      <c r="AB71" s="1694"/>
      <c r="AC71" s="1694"/>
      <c r="AD71" s="1694"/>
      <c r="AE71" s="1694"/>
      <c r="AF71" s="1694"/>
      <c r="AG71" s="1694"/>
      <c r="AH71" s="1695"/>
      <c r="AI71" s="1695">
        <f>SUM(V69:AI69)</f>
        <v>0</v>
      </c>
      <c r="AJ71" s="1694" t="s">
        <v>864</v>
      </c>
      <c r="AK71" s="1694" t="s">
        <v>864</v>
      </c>
      <c r="AL71" s="1694"/>
      <c r="AM71" s="1694"/>
      <c r="AN71" s="1694"/>
      <c r="AO71" s="1694"/>
      <c r="AP71" s="1694"/>
      <c r="AQ71" s="1694"/>
      <c r="AR71" s="1694"/>
      <c r="AS71" s="1694"/>
      <c r="AT71" s="1695"/>
      <c r="AU71" s="1695">
        <f>SUM(AJ69:AU69)</f>
        <v>0</v>
      </c>
      <c r="AV71" s="1694" t="s">
        <v>864</v>
      </c>
      <c r="AW71" s="1694" t="s">
        <v>864</v>
      </c>
      <c r="AX71" s="1694"/>
      <c r="AY71" s="1694"/>
      <c r="AZ71" s="1694"/>
      <c r="BA71" s="1694"/>
      <c r="BB71" s="1694"/>
      <c r="BC71" s="1694"/>
      <c r="BD71" s="1694"/>
      <c r="BE71" s="1694"/>
      <c r="BF71" s="1695"/>
      <c r="BG71" s="1695">
        <f>SUM(AV69:BG69)</f>
        <v>0</v>
      </c>
      <c r="BH71" s="1694" t="str">
        <f>"I alt pr år til hovedskema "&amp;budgetår</f>
        <v>I alt pr år til hovedskema 2024</v>
      </c>
      <c r="BI71" s="1694"/>
      <c r="BJ71" s="1694"/>
      <c r="BK71" s="1694"/>
      <c r="BL71" s="1695"/>
      <c r="BM71" s="1695">
        <f>SUM(BH69:BM69)</f>
        <v>0</v>
      </c>
      <c r="BN71" s="1694" t="str">
        <f>"I alt pr år til hovedskema "&amp;budgetår</f>
        <v>I alt pr år til hovedskema 2024</v>
      </c>
      <c r="BO71" s="1694" t="str">
        <f>"I alt pr år til hovedskema "&amp;budgetår</f>
        <v>I alt pr år til hovedskema 2024</v>
      </c>
      <c r="BP71" s="1697"/>
      <c r="BQ71" s="1697"/>
      <c r="BR71" s="1698"/>
      <c r="BS71" s="1698"/>
      <c r="BT71" s="1698"/>
      <c r="BU71" s="1698"/>
      <c r="BV71" s="1698"/>
      <c r="BW71" s="1698"/>
      <c r="BX71" s="1697"/>
      <c r="BY71" s="1695"/>
      <c r="BZ71" s="1695">
        <f>SUM(BN69:BZ69)</f>
        <v>0</v>
      </c>
      <c r="CA71" s="1694" t="str">
        <f>"I alt pr år til hovedskema "&amp;budgetår</f>
        <v>I alt pr år til hovedskema 2024</v>
      </c>
      <c r="CB71" s="1697"/>
      <c r="CC71" s="1697"/>
      <c r="CD71" s="1698"/>
      <c r="CE71" s="1698"/>
      <c r="CF71" s="1695"/>
      <c r="CG71" s="1695">
        <f>SUM(CA69:CG69)</f>
        <v>0</v>
      </c>
    </row>
    <row r="72" spans="1:111" s="1163" customFormat="1">
      <c r="A72" s="1601"/>
      <c r="B72" s="1602"/>
      <c r="C72" s="1603"/>
      <c r="D72" s="1602"/>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1602"/>
      <c r="AB72" s="1602"/>
      <c r="AC72" s="1602"/>
      <c r="AD72" s="1602"/>
      <c r="AE72" s="1602"/>
      <c r="AF72" s="1602"/>
      <c r="AG72" s="1602"/>
      <c r="AH72" s="1602"/>
      <c r="AI72" s="1602"/>
      <c r="AJ72" s="1602"/>
      <c r="AK72" s="1602"/>
      <c r="AL72" s="1602"/>
      <c r="AM72" s="1602"/>
      <c r="AN72" s="1602"/>
      <c r="AO72" s="1602"/>
      <c r="AP72" s="1602"/>
      <c r="AQ72" s="1602"/>
      <c r="AR72" s="1602"/>
      <c r="AS72" s="1602"/>
      <c r="AT72" s="1602"/>
      <c r="AU72" s="1602"/>
      <c r="AV72" s="1602"/>
      <c r="AW72" s="1602"/>
      <c r="AX72" s="1602"/>
      <c r="AY72" s="1602"/>
      <c r="AZ72" s="1602"/>
      <c r="BA72" s="1602"/>
      <c r="BB72" s="1602"/>
      <c r="BC72" s="1602"/>
      <c r="BD72" s="1602"/>
      <c r="BE72" s="1602"/>
      <c r="BF72" s="1602"/>
      <c r="BG72" s="1602"/>
      <c r="BH72" s="1602"/>
      <c r="BI72" s="1602"/>
      <c r="BJ72" s="1602"/>
      <c r="BK72" s="1602"/>
      <c r="BL72" s="1602"/>
      <c r="BM72" s="1602"/>
      <c r="BN72" s="1602"/>
      <c r="BO72" s="1602"/>
      <c r="BP72" s="1602"/>
      <c r="BQ72" s="1602"/>
      <c r="BR72" s="1602"/>
      <c r="BS72" s="1602"/>
      <c r="BT72" s="1602"/>
      <c r="BU72" s="1602"/>
      <c r="BV72" s="1602"/>
      <c r="BW72" s="1602"/>
      <c r="BX72" s="1602"/>
      <c r="BY72" s="1602"/>
      <c r="BZ72" s="1602"/>
      <c r="CA72" s="1602"/>
      <c r="CB72" s="1602"/>
      <c r="CC72" s="1602"/>
      <c r="CD72" s="1602"/>
      <c r="CE72" s="1602"/>
      <c r="CF72" s="1602"/>
      <c r="CG72" s="1602"/>
      <c r="CM72" s="98"/>
      <c r="CN72" s="98"/>
      <c r="CO72" s="98"/>
      <c r="CP72" s="98"/>
      <c r="CQ72" s="98"/>
      <c r="CR72" s="98"/>
      <c r="CS72" s="98"/>
      <c r="CT72" s="98"/>
      <c r="CU72" s="98"/>
      <c r="CV72" s="98"/>
      <c r="CW72" s="98"/>
      <c r="CX72" s="98"/>
      <c r="CY72" s="98"/>
      <c r="CZ72" s="98"/>
      <c r="DA72" s="98"/>
      <c r="DB72" s="98"/>
      <c r="DC72" s="98"/>
      <c r="DD72" s="98"/>
      <c r="DE72" s="98"/>
      <c r="DF72" s="98"/>
      <c r="DG72" s="98"/>
    </row>
    <row r="73" spans="1:111" ht="37" customHeight="1">
      <c r="A73" s="2950" t="s">
        <v>1351</v>
      </c>
      <c r="B73" s="2951"/>
      <c r="C73" s="2951"/>
      <c r="D73" s="2951"/>
      <c r="E73" s="2951"/>
      <c r="F73" s="2951"/>
      <c r="G73" s="2951"/>
      <c r="H73" s="2951"/>
      <c r="I73" s="2951"/>
      <c r="J73" s="2951"/>
      <c r="K73" s="2951"/>
      <c r="L73" s="2951"/>
      <c r="M73" s="2951"/>
      <c r="N73" s="2951"/>
      <c r="O73" s="2951"/>
      <c r="P73" s="2951"/>
      <c r="Q73" s="2951"/>
      <c r="R73" s="2951"/>
      <c r="S73" s="2951"/>
      <c r="T73" s="2951"/>
      <c r="U73" s="2951"/>
      <c r="V73" s="2951"/>
      <c r="W73" s="2951"/>
      <c r="X73" s="2951"/>
      <c r="Y73" s="2951"/>
      <c r="Z73" s="2951"/>
      <c r="AA73" s="2951"/>
      <c r="AB73" s="2951"/>
      <c r="AC73" s="2951"/>
      <c r="AD73" s="2951"/>
      <c r="AE73" s="2951"/>
      <c r="AF73" s="2951"/>
      <c r="AG73" s="2951"/>
      <c r="AH73" s="2951"/>
      <c r="AI73" s="2951"/>
      <c r="AJ73" s="2951"/>
      <c r="AK73" s="2951"/>
      <c r="AL73" s="2951"/>
      <c r="AM73" s="2951"/>
      <c r="AN73" s="2951"/>
      <c r="AO73" s="2951"/>
      <c r="AP73" s="2951"/>
      <c r="AQ73" s="2951"/>
      <c r="AR73" s="2951"/>
      <c r="AS73" s="2951"/>
      <c r="AT73" s="2951"/>
      <c r="AU73" s="2951"/>
      <c r="AV73" s="2951"/>
      <c r="AW73" s="2951"/>
      <c r="AX73" s="2951"/>
      <c r="AY73" s="2951"/>
      <c r="AZ73" s="2951"/>
      <c r="BA73" s="2951"/>
      <c r="BB73" s="2951"/>
      <c r="BC73" s="2951"/>
      <c r="BD73" s="2951"/>
      <c r="BE73" s="2951"/>
      <c r="BF73" s="2951"/>
      <c r="BG73" s="2951"/>
      <c r="BH73" s="2951"/>
      <c r="BI73" s="2951"/>
      <c r="BJ73" s="2951"/>
      <c r="BK73" s="2951"/>
      <c r="BL73" s="2951"/>
      <c r="BM73" s="2951"/>
      <c r="BN73" s="2951"/>
      <c r="BO73" s="2951"/>
      <c r="BP73" s="2951"/>
      <c r="BQ73" s="2951"/>
      <c r="BR73" s="2951"/>
      <c r="BS73" s="2951"/>
      <c r="BT73" s="2951"/>
      <c r="BU73" s="2951"/>
      <c r="BV73" s="2951"/>
      <c r="BW73" s="2951"/>
      <c r="BX73" s="2951"/>
      <c r="BY73" s="2951"/>
      <c r="BZ73" s="2951"/>
      <c r="CA73" s="2951"/>
      <c r="CB73" s="2951"/>
      <c r="CC73" s="2951"/>
      <c r="CD73" s="2951"/>
      <c r="CE73" s="2951"/>
      <c r="CF73" s="2951"/>
      <c r="CG73" s="2951"/>
    </row>
    <row r="74" spans="1:111" ht="58" customHeight="1" thickBot="1">
      <c r="A74" s="2875" t="s">
        <v>1163</v>
      </c>
      <c r="B74" s="2876"/>
      <c r="C74" s="1474">
        <v>1</v>
      </c>
      <c r="D74" s="1474">
        <v>1</v>
      </c>
      <c r="E74" s="1474">
        <v>1</v>
      </c>
      <c r="F74" s="1474">
        <v>1</v>
      </c>
      <c r="G74" s="1474">
        <v>1</v>
      </c>
      <c r="H74" s="1474">
        <v>1</v>
      </c>
      <c r="I74" s="1474">
        <v>1</v>
      </c>
      <c r="J74" s="1474">
        <v>1</v>
      </c>
      <c r="K74" s="1474">
        <v>1</v>
      </c>
      <c r="L74" s="1474">
        <v>1</v>
      </c>
      <c r="M74" s="1474">
        <v>1</v>
      </c>
      <c r="N74" s="1474">
        <v>1</v>
      </c>
      <c r="O74" s="1474">
        <v>1</v>
      </c>
      <c r="P74" s="1474">
        <v>1</v>
      </c>
      <c r="Q74" s="1474">
        <v>0.5</v>
      </c>
      <c r="R74" s="1474">
        <v>1</v>
      </c>
      <c r="S74" s="1474">
        <v>1</v>
      </c>
      <c r="T74" s="1474">
        <v>1</v>
      </c>
      <c r="U74" s="1474">
        <v>1</v>
      </c>
      <c r="V74" s="1474">
        <v>1</v>
      </c>
      <c r="W74" s="1474">
        <v>1</v>
      </c>
      <c r="X74" s="1474">
        <v>1</v>
      </c>
      <c r="Y74" s="1474">
        <v>1</v>
      </c>
      <c r="Z74" s="1474">
        <v>1</v>
      </c>
      <c r="AA74" s="1474">
        <v>1</v>
      </c>
      <c r="AB74" s="1474">
        <v>1</v>
      </c>
      <c r="AC74" s="1474">
        <v>1</v>
      </c>
      <c r="AD74" s="1474">
        <v>1</v>
      </c>
      <c r="AE74" s="1474">
        <v>1</v>
      </c>
      <c r="AF74" s="1474">
        <v>1</v>
      </c>
      <c r="AG74" s="1474">
        <v>1</v>
      </c>
      <c r="AH74" s="1474">
        <v>1</v>
      </c>
      <c r="AI74" s="1474">
        <v>1</v>
      </c>
      <c r="AJ74" s="1474">
        <v>1</v>
      </c>
      <c r="AK74" s="1474">
        <v>1</v>
      </c>
      <c r="AL74" s="1474">
        <v>1</v>
      </c>
      <c r="AM74" s="1474">
        <v>1</v>
      </c>
      <c r="AN74" s="1474">
        <v>1</v>
      </c>
      <c r="AO74" s="1474">
        <v>1</v>
      </c>
      <c r="AP74" s="1474">
        <v>1</v>
      </c>
      <c r="AQ74" s="1474">
        <v>1</v>
      </c>
      <c r="AR74" s="1474">
        <v>1</v>
      </c>
      <c r="AS74" s="1474">
        <v>1</v>
      </c>
      <c r="AT74" s="1474">
        <v>1</v>
      </c>
      <c r="AU74" s="1474">
        <v>1</v>
      </c>
      <c r="AV74" s="1474">
        <v>1</v>
      </c>
      <c r="AW74" s="1474">
        <v>1</v>
      </c>
      <c r="AX74" s="1474">
        <v>1</v>
      </c>
      <c r="AY74" s="1474">
        <v>1</v>
      </c>
      <c r="AZ74" s="1474">
        <v>1</v>
      </c>
      <c r="BA74" s="1474">
        <v>1</v>
      </c>
      <c r="BB74" s="1474">
        <v>1</v>
      </c>
      <c r="BC74" s="1474">
        <v>1</v>
      </c>
      <c r="BD74" s="1474">
        <v>1</v>
      </c>
      <c r="BE74" s="1474">
        <v>1</v>
      </c>
      <c r="BF74" s="1474">
        <v>1</v>
      </c>
      <c r="BG74" s="1474">
        <v>1</v>
      </c>
      <c r="BH74" s="1474">
        <v>1</v>
      </c>
      <c r="BI74" s="1474">
        <v>1</v>
      </c>
      <c r="BJ74" s="1474">
        <v>0.5</v>
      </c>
      <c r="BK74" s="1474">
        <v>1</v>
      </c>
      <c r="BL74" s="1474">
        <v>1</v>
      </c>
      <c r="BM74" s="1474">
        <v>1</v>
      </c>
      <c r="BN74" s="1474">
        <v>1</v>
      </c>
      <c r="BO74" s="2419">
        <v>1</v>
      </c>
      <c r="BP74" s="1474">
        <v>1</v>
      </c>
      <c r="BQ74" s="1474">
        <v>1</v>
      </c>
      <c r="BR74" s="1474">
        <v>1</v>
      </c>
      <c r="BS74" s="1474">
        <v>1</v>
      </c>
      <c r="BT74" s="1474">
        <v>1</v>
      </c>
      <c r="BU74" s="1474">
        <v>1</v>
      </c>
      <c r="BV74" s="1474">
        <v>1</v>
      </c>
      <c r="BW74" s="1474">
        <v>1</v>
      </c>
      <c r="BX74" s="1474">
        <v>1</v>
      </c>
      <c r="BY74" s="1474">
        <v>1</v>
      </c>
      <c r="BZ74" s="1474">
        <v>1</v>
      </c>
      <c r="CA74" s="1474">
        <v>1</v>
      </c>
      <c r="CB74" s="1474">
        <v>1</v>
      </c>
      <c r="CC74" s="1474">
        <v>1</v>
      </c>
      <c r="CD74" s="1474">
        <v>1</v>
      </c>
      <c r="CE74" s="1474">
        <v>1</v>
      </c>
      <c r="CF74" s="1474">
        <v>1</v>
      </c>
      <c r="CG74" s="1474">
        <v>1</v>
      </c>
      <c r="CI74" s="2937"/>
      <c r="CJ74" s="2937"/>
    </row>
    <row r="75" spans="1:111" ht="25" hidden="1" customHeight="1" thickBot="1">
      <c r="A75" s="1476"/>
      <c r="B75" s="1477" t="str">
        <f>'lon undervisning'!B87</f>
        <v xml:space="preserve">Ferieberettiget løn pr. 31. december 2023. DET ER VIGTIGT DER OPLYSES EN HEL MÅNEDS LØN. (hvis ikke der sker ændring i lønnen kan lønnen aflæses allerede i september/oktober mdr.) </v>
      </c>
      <c r="C75" s="1541">
        <f t="shared" ref="C75:S75" si="306">C41/C22*Prc</f>
        <v>0</v>
      </c>
      <c r="D75" s="1541">
        <f t="shared" si="306"/>
        <v>0</v>
      </c>
      <c r="E75" s="1541">
        <f t="shared" si="306"/>
        <v>0</v>
      </c>
      <c r="F75" s="1541">
        <f t="shared" si="306"/>
        <v>0</v>
      </c>
      <c r="G75" s="1541">
        <f t="shared" si="306"/>
        <v>0</v>
      </c>
      <c r="H75" s="1541">
        <f t="shared" si="306"/>
        <v>0</v>
      </c>
      <c r="I75" s="1541">
        <f t="shared" si="306"/>
        <v>0</v>
      </c>
      <c r="J75" s="1541">
        <f t="shared" si="306"/>
        <v>0</v>
      </c>
      <c r="K75" s="1541">
        <f t="shared" si="306"/>
        <v>0</v>
      </c>
      <c r="L75" s="1541">
        <f t="shared" si="306"/>
        <v>0</v>
      </c>
      <c r="M75" s="1541">
        <f t="shared" si="306"/>
        <v>0</v>
      </c>
      <c r="N75" s="1541">
        <f t="shared" si="306"/>
        <v>0</v>
      </c>
      <c r="O75" s="1541">
        <f t="shared" si="306"/>
        <v>0</v>
      </c>
      <c r="P75" s="1541">
        <f t="shared" si="306"/>
        <v>0</v>
      </c>
      <c r="Q75" s="1541">
        <f t="shared" si="306"/>
        <v>0</v>
      </c>
      <c r="R75" s="1541">
        <f t="shared" si="306"/>
        <v>0</v>
      </c>
      <c r="S75" s="1541">
        <f t="shared" si="306"/>
        <v>0</v>
      </c>
      <c r="T75" s="1543"/>
      <c r="U75" s="1543"/>
      <c r="V75" s="1541">
        <f t="shared" ref="V75:AG75" si="307">V41/V22*Prc</f>
        <v>0</v>
      </c>
      <c r="W75" s="1541">
        <f t="shared" si="307"/>
        <v>0</v>
      </c>
      <c r="X75" s="1541">
        <f t="shared" si="307"/>
        <v>0</v>
      </c>
      <c r="Y75" s="1541">
        <f t="shared" si="307"/>
        <v>0</v>
      </c>
      <c r="Z75" s="1541">
        <f t="shared" si="307"/>
        <v>0</v>
      </c>
      <c r="AA75" s="1541">
        <f t="shared" si="307"/>
        <v>0</v>
      </c>
      <c r="AB75" s="1541">
        <f t="shared" si="307"/>
        <v>0</v>
      </c>
      <c r="AC75" s="1541">
        <f t="shared" si="307"/>
        <v>0</v>
      </c>
      <c r="AD75" s="1541">
        <f t="shared" si="307"/>
        <v>0</v>
      </c>
      <c r="AE75" s="1541">
        <f t="shared" si="307"/>
        <v>0</v>
      </c>
      <c r="AF75" s="1541">
        <f t="shared" si="307"/>
        <v>0</v>
      </c>
      <c r="AG75" s="1541">
        <f t="shared" si="307"/>
        <v>0</v>
      </c>
      <c r="AH75" s="1699"/>
      <c r="AI75" s="1699"/>
      <c r="AJ75" s="1541">
        <f t="shared" ref="AJ75:AS75" si="308">AJ41/AJ22*Prc</f>
        <v>0</v>
      </c>
      <c r="AK75" s="1541">
        <f t="shared" si="308"/>
        <v>0</v>
      </c>
      <c r="AL75" s="1541">
        <f t="shared" si="308"/>
        <v>0</v>
      </c>
      <c r="AM75" s="1541">
        <f t="shared" si="308"/>
        <v>0</v>
      </c>
      <c r="AN75" s="1541">
        <f t="shared" si="308"/>
        <v>0</v>
      </c>
      <c r="AO75" s="1541">
        <f t="shared" si="308"/>
        <v>0</v>
      </c>
      <c r="AP75" s="1541">
        <f t="shared" si="308"/>
        <v>0</v>
      </c>
      <c r="AQ75" s="1541">
        <f t="shared" si="308"/>
        <v>0</v>
      </c>
      <c r="AR75" s="1541">
        <f t="shared" si="308"/>
        <v>0</v>
      </c>
      <c r="AS75" s="1541">
        <f t="shared" si="308"/>
        <v>0</v>
      </c>
      <c r="AT75" s="1699"/>
      <c r="AU75" s="1699"/>
      <c r="AV75" s="1541">
        <f t="shared" ref="AV75:BE75" si="309">AV41/AV22*Prc</f>
        <v>0</v>
      </c>
      <c r="AW75" s="1541">
        <f t="shared" si="309"/>
        <v>0</v>
      </c>
      <c r="AX75" s="1541">
        <f t="shared" si="309"/>
        <v>0</v>
      </c>
      <c r="AY75" s="1541">
        <f t="shared" si="309"/>
        <v>0</v>
      </c>
      <c r="AZ75" s="1541">
        <f t="shared" si="309"/>
        <v>0</v>
      </c>
      <c r="BA75" s="1541">
        <f t="shared" si="309"/>
        <v>0</v>
      </c>
      <c r="BB75" s="1541">
        <f t="shared" si="309"/>
        <v>0</v>
      </c>
      <c r="BC75" s="1541">
        <f t="shared" si="309"/>
        <v>0</v>
      </c>
      <c r="BD75" s="1541">
        <f t="shared" si="309"/>
        <v>0</v>
      </c>
      <c r="BE75" s="1541">
        <f t="shared" si="309"/>
        <v>0</v>
      </c>
      <c r="BF75" s="1699"/>
      <c r="BG75" s="1699"/>
      <c r="BH75" s="1541">
        <f>BH41/BH22*Prc</f>
        <v>0</v>
      </c>
      <c r="BI75" s="1541">
        <f>BI41/BI22*Prc</f>
        <v>0</v>
      </c>
      <c r="BJ75" s="1541">
        <f>BJ41/BJ22*Prc</f>
        <v>0</v>
      </c>
      <c r="BK75" s="1541">
        <f>BK41/BK22*Prc</f>
        <v>0</v>
      </c>
      <c r="BL75" s="1543"/>
      <c r="BM75" s="1543"/>
      <c r="BN75" s="1541">
        <f t="shared" ref="BN75:BX75" si="310">BN41/BN22*Prc</f>
        <v>0</v>
      </c>
      <c r="BO75" s="2418">
        <f t="shared" si="310"/>
        <v>0</v>
      </c>
      <c r="BP75" s="1541">
        <f t="shared" si="310"/>
        <v>0</v>
      </c>
      <c r="BQ75" s="1541">
        <f t="shared" si="310"/>
        <v>0</v>
      </c>
      <c r="BR75" s="1541">
        <f t="shared" si="310"/>
        <v>0</v>
      </c>
      <c r="BS75" s="1541">
        <f t="shared" si="310"/>
        <v>0</v>
      </c>
      <c r="BT75" s="1541">
        <f t="shared" si="310"/>
        <v>0</v>
      </c>
      <c r="BU75" s="1541">
        <f t="shared" si="310"/>
        <v>0</v>
      </c>
      <c r="BV75" s="1541">
        <f t="shared" si="310"/>
        <v>0</v>
      </c>
      <c r="BW75" s="1541">
        <f t="shared" si="310"/>
        <v>0</v>
      </c>
      <c r="BX75" s="1541">
        <f t="shared" si="310"/>
        <v>0</v>
      </c>
      <c r="BY75" s="1543"/>
      <c r="BZ75" s="1543"/>
      <c r="CA75" s="1541">
        <f>CA41/CA22*Prc</f>
        <v>0</v>
      </c>
      <c r="CB75" s="1541">
        <f>CB41/CB22*Prc</f>
        <v>0</v>
      </c>
      <c r="CC75" s="1541">
        <f>CC41/CC22*Prc</f>
        <v>0</v>
      </c>
      <c r="CD75" s="1541">
        <f>CD41/CD22*Prc</f>
        <v>0</v>
      </c>
      <c r="CE75" s="1541">
        <f>CE41/CE22*Prc</f>
        <v>0</v>
      </c>
      <c r="CF75" s="1699"/>
      <c r="CG75" s="1699"/>
      <c r="CI75" s="1156"/>
      <c r="CJ75" s="1161"/>
    </row>
    <row r="76" spans="1:111" ht="43" hidden="1" customHeight="1" thickBot="1">
      <c r="A76" s="1478"/>
      <c r="B76" s="1479" t="str">
        <f>'lon undervisning'!B88</f>
        <v>100% pensionsindbetaling pr. 31. december 2023. DET ER VIGTIGT PENSIONSINDBETALINGEN VEDR. EN HEL MÅNEDS INDBETALING. (Hvis ikke der sker ændring i lønnen kan pensionsindbetalingen aflæses allerede i september/oktober mdr.)</v>
      </c>
      <c r="C76" s="1480">
        <f t="shared" ref="C76:S76" si="311">C45/C22*Prc</f>
        <v>0</v>
      </c>
      <c r="D76" s="1480">
        <f t="shared" si="311"/>
        <v>0</v>
      </c>
      <c r="E76" s="1480">
        <f t="shared" si="311"/>
        <v>0</v>
      </c>
      <c r="F76" s="1480">
        <f t="shared" si="311"/>
        <v>0</v>
      </c>
      <c r="G76" s="1480">
        <f t="shared" si="311"/>
        <v>0</v>
      </c>
      <c r="H76" s="1480">
        <f t="shared" si="311"/>
        <v>0</v>
      </c>
      <c r="I76" s="1480">
        <f t="shared" si="311"/>
        <v>0</v>
      </c>
      <c r="J76" s="1480">
        <f t="shared" si="311"/>
        <v>0</v>
      </c>
      <c r="K76" s="1480">
        <f t="shared" si="311"/>
        <v>0</v>
      </c>
      <c r="L76" s="1480">
        <f t="shared" si="311"/>
        <v>0</v>
      </c>
      <c r="M76" s="1480">
        <f t="shared" si="311"/>
        <v>0</v>
      </c>
      <c r="N76" s="1480">
        <f t="shared" si="311"/>
        <v>0</v>
      </c>
      <c r="O76" s="1480">
        <f t="shared" si="311"/>
        <v>0</v>
      </c>
      <c r="P76" s="1480">
        <f t="shared" si="311"/>
        <v>0</v>
      </c>
      <c r="Q76" s="1480">
        <f t="shared" si="311"/>
        <v>0</v>
      </c>
      <c r="R76" s="1480">
        <f t="shared" si="311"/>
        <v>0</v>
      </c>
      <c r="S76" s="1480">
        <f t="shared" si="311"/>
        <v>0</v>
      </c>
      <c r="T76" s="1544"/>
      <c r="U76" s="1544"/>
      <c r="V76" s="1480">
        <f t="shared" ref="V76:AG76" si="312">V45/V22*Prc</f>
        <v>0</v>
      </c>
      <c r="W76" s="1480">
        <f t="shared" si="312"/>
        <v>0</v>
      </c>
      <c r="X76" s="1480">
        <f t="shared" si="312"/>
        <v>0</v>
      </c>
      <c r="Y76" s="1480">
        <f t="shared" si="312"/>
        <v>0</v>
      </c>
      <c r="Z76" s="1480">
        <f t="shared" si="312"/>
        <v>0</v>
      </c>
      <c r="AA76" s="1480">
        <f t="shared" si="312"/>
        <v>0</v>
      </c>
      <c r="AB76" s="1480">
        <f t="shared" si="312"/>
        <v>0</v>
      </c>
      <c r="AC76" s="1480">
        <f t="shared" si="312"/>
        <v>0</v>
      </c>
      <c r="AD76" s="1480">
        <f t="shared" si="312"/>
        <v>0</v>
      </c>
      <c r="AE76" s="1480">
        <f t="shared" si="312"/>
        <v>0</v>
      </c>
      <c r="AF76" s="1480">
        <f t="shared" si="312"/>
        <v>0</v>
      </c>
      <c r="AG76" s="1480">
        <f t="shared" si="312"/>
        <v>0</v>
      </c>
      <c r="AH76" s="1545"/>
      <c r="AI76" s="1545"/>
      <c r="AJ76" s="1480">
        <f t="shared" ref="AJ76:AS76" si="313">AJ45/AJ22*Prc</f>
        <v>0</v>
      </c>
      <c r="AK76" s="1480">
        <f t="shared" si="313"/>
        <v>0</v>
      </c>
      <c r="AL76" s="1480">
        <f t="shared" si="313"/>
        <v>0</v>
      </c>
      <c r="AM76" s="1480">
        <f t="shared" si="313"/>
        <v>0</v>
      </c>
      <c r="AN76" s="1480">
        <f t="shared" si="313"/>
        <v>0</v>
      </c>
      <c r="AO76" s="1480">
        <f t="shared" si="313"/>
        <v>0</v>
      </c>
      <c r="AP76" s="1480">
        <f t="shared" si="313"/>
        <v>0</v>
      </c>
      <c r="AQ76" s="1480">
        <f t="shared" si="313"/>
        <v>0</v>
      </c>
      <c r="AR76" s="1480">
        <f t="shared" si="313"/>
        <v>0</v>
      </c>
      <c r="AS76" s="1480">
        <f t="shared" si="313"/>
        <v>0</v>
      </c>
      <c r="AT76" s="1545"/>
      <c r="AU76" s="1545"/>
      <c r="AV76" s="1480">
        <f t="shared" ref="AV76:BE76" si="314">AV45/AV22*Prc</f>
        <v>0</v>
      </c>
      <c r="AW76" s="1480">
        <f t="shared" si="314"/>
        <v>0</v>
      </c>
      <c r="AX76" s="1480">
        <f t="shared" si="314"/>
        <v>0</v>
      </c>
      <c r="AY76" s="1480">
        <f t="shared" si="314"/>
        <v>0</v>
      </c>
      <c r="AZ76" s="1480">
        <f t="shared" si="314"/>
        <v>0</v>
      </c>
      <c r="BA76" s="1480">
        <f t="shared" si="314"/>
        <v>0</v>
      </c>
      <c r="BB76" s="1480">
        <f t="shared" si="314"/>
        <v>0</v>
      </c>
      <c r="BC76" s="1480">
        <f t="shared" si="314"/>
        <v>0</v>
      </c>
      <c r="BD76" s="1480">
        <f t="shared" si="314"/>
        <v>0</v>
      </c>
      <c r="BE76" s="1480">
        <f t="shared" si="314"/>
        <v>0</v>
      </c>
      <c r="BF76" s="1545"/>
      <c r="BG76" s="1545"/>
      <c r="BH76" s="1480">
        <f>BH45/BH22*Prc</f>
        <v>0</v>
      </c>
      <c r="BI76" s="1480">
        <f>BI45/BI22*Prc</f>
        <v>0</v>
      </c>
      <c r="BJ76" s="1480">
        <f>BJ45/BJ22*Prc</f>
        <v>0</v>
      </c>
      <c r="BK76" s="1480">
        <f>BK45/BK22*Prc</f>
        <v>0</v>
      </c>
      <c r="BL76" s="1544"/>
      <c r="BM76" s="1544"/>
      <c r="BN76" s="1480">
        <f t="shared" ref="BN76:BX76" si="315">BN45/BN22*Prc</f>
        <v>0</v>
      </c>
      <c r="BO76" s="1480">
        <f t="shared" si="315"/>
        <v>0</v>
      </c>
      <c r="BP76" s="1480">
        <f t="shared" si="315"/>
        <v>0</v>
      </c>
      <c r="BQ76" s="1480">
        <f t="shared" si="315"/>
        <v>0</v>
      </c>
      <c r="BR76" s="1480">
        <f t="shared" si="315"/>
        <v>0</v>
      </c>
      <c r="BS76" s="1480">
        <f t="shared" si="315"/>
        <v>0</v>
      </c>
      <c r="BT76" s="1480">
        <f t="shared" si="315"/>
        <v>0</v>
      </c>
      <c r="BU76" s="1480">
        <f t="shared" si="315"/>
        <v>0</v>
      </c>
      <c r="BV76" s="1480">
        <f t="shared" si="315"/>
        <v>0</v>
      </c>
      <c r="BW76" s="1480">
        <f t="shared" si="315"/>
        <v>0</v>
      </c>
      <c r="BX76" s="1480">
        <f t="shared" si="315"/>
        <v>0</v>
      </c>
      <c r="BY76" s="1544"/>
      <c r="BZ76" s="1544"/>
      <c r="CA76" s="1480">
        <f>CA45/CA22*Prc</f>
        <v>0</v>
      </c>
      <c r="CB76" s="1480">
        <f>CB45/CB22*Prc</f>
        <v>0</v>
      </c>
      <c r="CC76" s="1480">
        <f>CC45/CC22*Prc</f>
        <v>0</v>
      </c>
      <c r="CD76" s="1480">
        <f>CD45/CD22*Prc</f>
        <v>0</v>
      </c>
      <c r="CE76" s="1480">
        <f>CE45/CE22*Prc</f>
        <v>0</v>
      </c>
      <c r="CF76" s="1545"/>
      <c r="CG76" s="1545"/>
      <c r="CI76" s="1157"/>
      <c r="CJ76" s="1160"/>
    </row>
    <row r="77" spans="1:111" ht="25" hidden="1" customHeight="1" thickBot="1">
      <c r="A77" s="1478"/>
      <c r="B77" s="1479" t="str">
        <f>'lon undervisning'!B89</f>
        <v>Skolens bidrag til ATP december 2021. (Kan også aflæses i september/oktober mdr.)</v>
      </c>
      <c r="C77" s="1480">
        <f t="shared" ref="C77:S77" si="316">C46/3*2</f>
        <v>0</v>
      </c>
      <c r="D77" s="1480">
        <f t="shared" si="316"/>
        <v>0</v>
      </c>
      <c r="E77" s="1480">
        <f t="shared" si="316"/>
        <v>0</v>
      </c>
      <c r="F77" s="1480">
        <f t="shared" si="316"/>
        <v>0</v>
      </c>
      <c r="G77" s="1480">
        <f t="shared" si="316"/>
        <v>0</v>
      </c>
      <c r="H77" s="1480">
        <f t="shared" si="316"/>
        <v>0</v>
      </c>
      <c r="I77" s="1480">
        <f t="shared" si="316"/>
        <v>0</v>
      </c>
      <c r="J77" s="1480">
        <f t="shared" si="316"/>
        <v>0</v>
      </c>
      <c r="K77" s="1480">
        <f t="shared" si="316"/>
        <v>0</v>
      </c>
      <c r="L77" s="1480">
        <f t="shared" si="316"/>
        <v>0</v>
      </c>
      <c r="M77" s="1480">
        <f t="shared" si="316"/>
        <v>0</v>
      </c>
      <c r="N77" s="1480">
        <f t="shared" si="316"/>
        <v>0</v>
      </c>
      <c r="O77" s="1480">
        <f t="shared" si="316"/>
        <v>0</v>
      </c>
      <c r="P77" s="1480">
        <f t="shared" si="316"/>
        <v>0</v>
      </c>
      <c r="Q77" s="1480">
        <f t="shared" si="316"/>
        <v>0</v>
      </c>
      <c r="R77" s="1480">
        <f t="shared" si="316"/>
        <v>0</v>
      </c>
      <c r="S77" s="1480">
        <f t="shared" si="316"/>
        <v>0</v>
      </c>
      <c r="T77" s="1544"/>
      <c r="U77" s="1544"/>
      <c r="V77" s="1480">
        <f t="shared" ref="V77:AG77" si="317">V46/3*2</f>
        <v>0</v>
      </c>
      <c r="W77" s="1480">
        <f t="shared" si="317"/>
        <v>0</v>
      </c>
      <c r="X77" s="1480">
        <f t="shared" si="317"/>
        <v>0</v>
      </c>
      <c r="Y77" s="1480">
        <f t="shared" si="317"/>
        <v>0</v>
      </c>
      <c r="Z77" s="1480">
        <f t="shared" si="317"/>
        <v>0</v>
      </c>
      <c r="AA77" s="1480">
        <f t="shared" si="317"/>
        <v>0</v>
      </c>
      <c r="AB77" s="1480">
        <f t="shared" si="317"/>
        <v>0</v>
      </c>
      <c r="AC77" s="1480">
        <f t="shared" si="317"/>
        <v>0</v>
      </c>
      <c r="AD77" s="1480">
        <f t="shared" si="317"/>
        <v>0</v>
      </c>
      <c r="AE77" s="1480">
        <f t="shared" si="317"/>
        <v>0</v>
      </c>
      <c r="AF77" s="1480">
        <f t="shared" si="317"/>
        <v>0</v>
      </c>
      <c r="AG77" s="1480">
        <f t="shared" si="317"/>
        <v>0</v>
      </c>
      <c r="AH77" s="1545"/>
      <c r="AI77" s="1545"/>
      <c r="AJ77" s="1480">
        <f t="shared" ref="AJ77:AS77" si="318">AJ46/3*2</f>
        <v>0</v>
      </c>
      <c r="AK77" s="1480">
        <f t="shared" si="318"/>
        <v>0</v>
      </c>
      <c r="AL77" s="1480">
        <f t="shared" si="318"/>
        <v>0</v>
      </c>
      <c r="AM77" s="1480">
        <f t="shared" si="318"/>
        <v>0</v>
      </c>
      <c r="AN77" s="1480">
        <f t="shared" si="318"/>
        <v>0</v>
      </c>
      <c r="AO77" s="1480">
        <f t="shared" si="318"/>
        <v>0</v>
      </c>
      <c r="AP77" s="1480">
        <f t="shared" si="318"/>
        <v>0</v>
      </c>
      <c r="AQ77" s="1480">
        <f t="shared" si="318"/>
        <v>0</v>
      </c>
      <c r="AR77" s="1480">
        <f t="shared" si="318"/>
        <v>0</v>
      </c>
      <c r="AS77" s="1480">
        <f t="shared" si="318"/>
        <v>0</v>
      </c>
      <c r="AT77" s="1545"/>
      <c r="AU77" s="1545"/>
      <c r="AV77" s="1480">
        <f t="shared" ref="AV77:BE77" si="319">AV46/3*2</f>
        <v>0</v>
      </c>
      <c r="AW77" s="1480">
        <f t="shared" si="319"/>
        <v>0</v>
      </c>
      <c r="AX77" s="1480">
        <f t="shared" si="319"/>
        <v>0</v>
      </c>
      <c r="AY77" s="1480">
        <f t="shared" si="319"/>
        <v>0</v>
      </c>
      <c r="AZ77" s="1480">
        <f t="shared" si="319"/>
        <v>0</v>
      </c>
      <c r="BA77" s="1480">
        <f t="shared" si="319"/>
        <v>0</v>
      </c>
      <c r="BB77" s="1480">
        <f t="shared" si="319"/>
        <v>0</v>
      </c>
      <c r="BC77" s="1480">
        <f t="shared" si="319"/>
        <v>0</v>
      </c>
      <c r="BD77" s="1480">
        <f t="shared" si="319"/>
        <v>0</v>
      </c>
      <c r="BE77" s="1480">
        <f t="shared" si="319"/>
        <v>0</v>
      </c>
      <c r="BF77" s="1545"/>
      <c r="BG77" s="1545"/>
      <c r="BH77" s="1480">
        <f>BH46/3*2</f>
        <v>0</v>
      </c>
      <c r="BI77" s="1480">
        <f>BI46/3*2</f>
        <v>0</v>
      </c>
      <c r="BJ77" s="1480">
        <f>BJ46/3*2</f>
        <v>0</v>
      </c>
      <c r="BK77" s="1480">
        <f>BK46/3*2</f>
        <v>0</v>
      </c>
      <c r="BL77" s="1544"/>
      <c r="BM77" s="1544"/>
      <c r="BN77" s="1480">
        <f t="shared" ref="BN77:BX77" si="320">BN46/3*2</f>
        <v>0</v>
      </c>
      <c r="BO77" s="1480">
        <f t="shared" si="320"/>
        <v>0</v>
      </c>
      <c r="BP77" s="1480">
        <f t="shared" si="320"/>
        <v>0</v>
      </c>
      <c r="BQ77" s="1480">
        <f t="shared" si="320"/>
        <v>0</v>
      </c>
      <c r="BR77" s="1480">
        <f t="shared" si="320"/>
        <v>0</v>
      </c>
      <c r="BS77" s="1480">
        <f t="shared" si="320"/>
        <v>0</v>
      </c>
      <c r="BT77" s="1480">
        <f t="shared" si="320"/>
        <v>0</v>
      </c>
      <c r="BU77" s="1480">
        <f t="shared" si="320"/>
        <v>0</v>
      </c>
      <c r="BV77" s="1480">
        <f t="shared" si="320"/>
        <v>0</v>
      </c>
      <c r="BW77" s="1480">
        <f t="shared" si="320"/>
        <v>0</v>
      </c>
      <c r="BX77" s="1480">
        <f t="shared" si="320"/>
        <v>0</v>
      </c>
      <c r="BY77" s="1544"/>
      <c r="BZ77" s="1544"/>
      <c r="CA77" s="1480">
        <f>CA46/3*2</f>
        <v>0</v>
      </c>
      <c r="CB77" s="1480">
        <f>CB46/3*2</f>
        <v>0</v>
      </c>
      <c r="CC77" s="1480">
        <f>CC46/3*2</f>
        <v>0</v>
      </c>
      <c r="CD77" s="1480">
        <f>CD46/3*2</f>
        <v>0</v>
      </c>
      <c r="CE77" s="1480">
        <f>CE46/3*2</f>
        <v>0</v>
      </c>
      <c r="CF77" s="1545"/>
      <c r="CG77" s="1545"/>
      <c r="CI77" s="1158"/>
      <c r="CJ77" s="1159"/>
    </row>
    <row r="78" spans="1:111" ht="25" hidden="1" customHeight="1" thickBot="1">
      <c r="A78" s="1478"/>
      <c r="B78" s="1479" t="str">
        <f>'lon undervisning'!B90</f>
        <v>Ferietillæg 1,5% optjent september-december 2021</v>
      </c>
      <c r="C78" s="1480">
        <f t="shared" ref="C78:S78" si="321">IF(C13&gt;0,(C75*4)*1.5%,0)</f>
        <v>0</v>
      </c>
      <c r="D78" s="1480">
        <f t="shared" si="321"/>
        <v>0</v>
      </c>
      <c r="E78" s="1480">
        <f t="shared" si="321"/>
        <v>0</v>
      </c>
      <c r="F78" s="1480">
        <f t="shared" si="321"/>
        <v>0</v>
      </c>
      <c r="G78" s="1480">
        <f t="shared" si="321"/>
        <v>0</v>
      </c>
      <c r="H78" s="1480">
        <f t="shared" si="321"/>
        <v>0</v>
      </c>
      <c r="I78" s="1480">
        <f t="shared" si="321"/>
        <v>0</v>
      </c>
      <c r="J78" s="1480">
        <f t="shared" si="321"/>
        <v>0</v>
      </c>
      <c r="K78" s="1480">
        <f t="shared" si="321"/>
        <v>0</v>
      </c>
      <c r="L78" s="1480">
        <f t="shared" si="321"/>
        <v>0</v>
      </c>
      <c r="M78" s="1480">
        <f t="shared" si="321"/>
        <v>0</v>
      </c>
      <c r="N78" s="1480">
        <f t="shared" si="321"/>
        <v>0</v>
      </c>
      <c r="O78" s="1480">
        <f t="shared" si="321"/>
        <v>0</v>
      </c>
      <c r="P78" s="1480">
        <f t="shared" si="321"/>
        <v>0</v>
      </c>
      <c r="Q78" s="1480">
        <f t="shared" si="321"/>
        <v>0</v>
      </c>
      <c r="R78" s="1480">
        <f t="shared" si="321"/>
        <v>0</v>
      </c>
      <c r="S78" s="1480">
        <f t="shared" si="321"/>
        <v>0</v>
      </c>
      <c r="T78" s="1544"/>
      <c r="U78" s="1544"/>
      <c r="V78" s="1480">
        <f t="shared" ref="V78:AG78" si="322">IF(V13&gt;0,(V75*4)*1.5%,0)</f>
        <v>0</v>
      </c>
      <c r="W78" s="1480">
        <f t="shared" si="322"/>
        <v>0</v>
      </c>
      <c r="X78" s="1480">
        <f t="shared" si="322"/>
        <v>0</v>
      </c>
      <c r="Y78" s="1480">
        <f t="shared" si="322"/>
        <v>0</v>
      </c>
      <c r="Z78" s="1480">
        <f t="shared" si="322"/>
        <v>0</v>
      </c>
      <c r="AA78" s="1480">
        <f t="shared" si="322"/>
        <v>0</v>
      </c>
      <c r="AB78" s="1480">
        <f t="shared" si="322"/>
        <v>0</v>
      </c>
      <c r="AC78" s="1480">
        <f t="shared" si="322"/>
        <v>0</v>
      </c>
      <c r="AD78" s="1480">
        <f t="shared" si="322"/>
        <v>0</v>
      </c>
      <c r="AE78" s="1480">
        <f t="shared" si="322"/>
        <v>0</v>
      </c>
      <c r="AF78" s="1480">
        <f t="shared" si="322"/>
        <v>0</v>
      </c>
      <c r="AG78" s="1480">
        <f t="shared" si="322"/>
        <v>0</v>
      </c>
      <c r="AH78" s="1545"/>
      <c r="AI78" s="1545"/>
      <c r="AJ78" s="1480">
        <f t="shared" ref="AJ78:AS78" si="323">IF(AJ13&gt;0,(AJ75*4)*1.5%,0)</f>
        <v>0</v>
      </c>
      <c r="AK78" s="1480">
        <f t="shared" si="323"/>
        <v>0</v>
      </c>
      <c r="AL78" s="1480">
        <f t="shared" si="323"/>
        <v>0</v>
      </c>
      <c r="AM78" s="1480">
        <f t="shared" si="323"/>
        <v>0</v>
      </c>
      <c r="AN78" s="1480">
        <f t="shared" si="323"/>
        <v>0</v>
      </c>
      <c r="AO78" s="1480">
        <f t="shared" si="323"/>
        <v>0</v>
      </c>
      <c r="AP78" s="1480">
        <f t="shared" si="323"/>
        <v>0</v>
      </c>
      <c r="AQ78" s="1480">
        <f t="shared" si="323"/>
        <v>0</v>
      </c>
      <c r="AR78" s="1480">
        <f t="shared" si="323"/>
        <v>0</v>
      </c>
      <c r="AS78" s="1480">
        <f t="shared" si="323"/>
        <v>0</v>
      </c>
      <c r="AT78" s="1545"/>
      <c r="AU78" s="1545"/>
      <c r="AV78" s="1480">
        <f t="shared" ref="AV78:BE78" si="324">IF(AV13&gt;0,(AV75*4)*1.5%,0)</f>
        <v>0</v>
      </c>
      <c r="AW78" s="1480">
        <f t="shared" si="324"/>
        <v>0</v>
      </c>
      <c r="AX78" s="1480">
        <f t="shared" si="324"/>
        <v>0</v>
      </c>
      <c r="AY78" s="1480">
        <f t="shared" si="324"/>
        <v>0</v>
      </c>
      <c r="AZ78" s="1480">
        <f t="shared" si="324"/>
        <v>0</v>
      </c>
      <c r="BA78" s="1480">
        <f t="shared" si="324"/>
        <v>0</v>
      </c>
      <c r="BB78" s="1480">
        <f t="shared" si="324"/>
        <v>0</v>
      </c>
      <c r="BC78" s="1480">
        <f t="shared" si="324"/>
        <v>0</v>
      </c>
      <c r="BD78" s="1480">
        <f t="shared" si="324"/>
        <v>0</v>
      </c>
      <c r="BE78" s="1480">
        <f t="shared" si="324"/>
        <v>0</v>
      </c>
      <c r="BF78" s="1545"/>
      <c r="BG78" s="1545"/>
      <c r="BH78" s="1480">
        <f>IF(BH13&gt;0,(BH75*4)*1.5%,0)</f>
        <v>0</v>
      </c>
      <c r="BI78" s="1480">
        <f>IF(BI13&gt;0,(BI75*4)*1.5%,0)</f>
        <v>0</v>
      </c>
      <c r="BJ78" s="1480">
        <f>IF(BJ13&gt;0,(BJ75*4)*1.5%,0)</f>
        <v>0</v>
      </c>
      <c r="BK78" s="1480">
        <f>IF(BK13&gt;0,(BK75*4)*1.5%,0)</f>
        <v>0</v>
      </c>
      <c r="BL78" s="1544"/>
      <c r="BM78" s="1544"/>
      <c r="BN78" s="1480">
        <f t="shared" ref="BN78:BX78" si="325">IF(BN13&gt;0,(BN75*4)*1.5%,0)</f>
        <v>0</v>
      </c>
      <c r="BO78" s="2420">
        <f t="shared" si="325"/>
        <v>0</v>
      </c>
      <c r="BP78" s="1480">
        <f t="shared" si="325"/>
        <v>0</v>
      </c>
      <c r="BQ78" s="1480">
        <f t="shared" si="325"/>
        <v>0</v>
      </c>
      <c r="BR78" s="1480">
        <f t="shared" si="325"/>
        <v>0</v>
      </c>
      <c r="BS78" s="1480">
        <f t="shared" si="325"/>
        <v>0</v>
      </c>
      <c r="BT78" s="1480">
        <f t="shared" si="325"/>
        <v>0</v>
      </c>
      <c r="BU78" s="1480">
        <f t="shared" si="325"/>
        <v>0</v>
      </c>
      <c r="BV78" s="1480">
        <f t="shared" si="325"/>
        <v>0</v>
      </c>
      <c r="BW78" s="1480">
        <f t="shared" si="325"/>
        <v>0</v>
      </c>
      <c r="BX78" s="1480">
        <f t="shared" si="325"/>
        <v>0</v>
      </c>
      <c r="BY78" s="1544"/>
      <c r="BZ78" s="1544"/>
      <c r="CA78" s="1480">
        <f>IF(CA13&gt;0,(CA75*4)*1.5%,0)</f>
        <v>0</v>
      </c>
      <c r="CB78" s="1480">
        <f>IF(CB13&gt;0,(CB75*4)*1.5%,0)</f>
        <v>0</v>
      </c>
      <c r="CC78" s="1480">
        <f>IF(CC13&gt;0,(CC75*4)*1.5%,0)</f>
        <v>0</v>
      </c>
      <c r="CD78" s="1480">
        <f>IF(CD13&gt;0,(CD75*4)*1.5%,0)</f>
        <v>0</v>
      </c>
      <c r="CE78" s="1480">
        <f>IF(CE13&gt;0,(CE75*4)*1.5%,0)</f>
        <v>0</v>
      </c>
      <c r="CF78" s="1545"/>
      <c r="CG78" s="1545"/>
      <c r="CI78" s="1155"/>
      <c r="CJ78" s="1155"/>
    </row>
    <row r="79" spans="1:111" ht="31" customHeight="1" thickBot="1">
      <c r="A79" s="2877">
        <f>'lon undervisning'!A91</f>
        <v>2023</v>
      </c>
      <c r="B79" s="1479" t="str">
        <f>'lon undervisning'!B91</f>
        <v>Antal skyldige feriedage og særlige feriedage pr. 31.12.2023. (Anvendes til feriepengeforpligtigelse)</v>
      </c>
      <c r="C79" s="1480"/>
      <c r="D79" s="1480"/>
      <c r="E79" s="1480"/>
      <c r="F79" s="1480"/>
      <c r="G79" s="1480"/>
      <c r="H79" s="1480"/>
      <c r="I79" s="1480"/>
      <c r="J79" s="1480"/>
      <c r="K79" s="1480"/>
      <c r="L79" s="1480"/>
      <c r="M79" s="1480"/>
      <c r="N79" s="1480"/>
      <c r="O79" s="1480"/>
      <c r="P79" s="1480"/>
      <c r="Q79" s="1480"/>
      <c r="R79" s="1480"/>
      <c r="S79" s="1480"/>
      <c r="T79" s="1544"/>
      <c r="U79" s="1544"/>
      <c r="V79" s="1480"/>
      <c r="W79" s="1480"/>
      <c r="X79" s="1480"/>
      <c r="Y79" s="1480"/>
      <c r="Z79" s="1480"/>
      <c r="AA79" s="1480"/>
      <c r="AB79" s="1480"/>
      <c r="AC79" s="1480"/>
      <c r="AD79" s="1480"/>
      <c r="AE79" s="1480"/>
      <c r="AF79" s="1480"/>
      <c r="AG79" s="1480"/>
      <c r="AH79" s="1545"/>
      <c r="AI79" s="1545"/>
      <c r="AJ79" s="1480"/>
      <c r="AK79" s="1480"/>
      <c r="AL79" s="1480"/>
      <c r="AM79" s="1480"/>
      <c r="AN79" s="1480"/>
      <c r="AO79" s="1480"/>
      <c r="AP79" s="1480"/>
      <c r="AQ79" s="1480"/>
      <c r="AR79" s="1480"/>
      <c r="AS79" s="1480"/>
      <c r="AT79" s="1545"/>
      <c r="AU79" s="1545"/>
      <c r="AV79" s="1480"/>
      <c r="AW79" s="1480"/>
      <c r="AX79" s="1480"/>
      <c r="AY79" s="1480"/>
      <c r="AZ79" s="1480"/>
      <c r="BA79" s="1480"/>
      <c r="BB79" s="1480"/>
      <c r="BC79" s="1480"/>
      <c r="BD79" s="1480"/>
      <c r="BE79" s="1480"/>
      <c r="BF79" s="1545"/>
      <c r="BG79" s="1545"/>
      <c r="BH79" s="1485"/>
      <c r="BI79" s="1480"/>
      <c r="BJ79" s="1480"/>
      <c r="BK79" s="1480"/>
      <c r="BL79" s="1544"/>
      <c r="BM79" s="1544"/>
      <c r="BN79" s="1480"/>
      <c r="BO79" s="2421"/>
      <c r="BP79" s="1480"/>
      <c r="BQ79" s="1480"/>
      <c r="BR79" s="1480"/>
      <c r="BS79" s="1480"/>
      <c r="BT79" s="1480"/>
      <c r="BU79" s="1480"/>
      <c r="BV79" s="1480"/>
      <c r="BW79" s="1480"/>
      <c r="BX79" s="1480"/>
      <c r="BY79" s="1544"/>
      <c r="BZ79" s="1544"/>
      <c r="CA79" s="1480"/>
      <c r="CB79" s="1480"/>
      <c r="CC79" s="1480"/>
      <c r="CD79" s="1480"/>
      <c r="CE79" s="1480"/>
      <c r="CF79" s="1544"/>
      <c r="CG79" s="1544"/>
      <c r="CI79" s="1246"/>
      <c r="CJ79" s="1247"/>
    </row>
    <row r="80" spans="1:111" ht="27" customHeight="1" thickBot="1">
      <c r="A80" s="2878"/>
      <c r="B80" s="1482" t="str">
        <f>'lon undervisning'!B92</f>
        <v>Feriepengeforpligtigelse 2023</v>
      </c>
      <c r="C80" s="1483" cm="1">
        <f t="array" ref="C80">IF(C79&gt;0,SUM((C75:C77)/21*C79)+C78)*C74</f>
        <v>0</v>
      </c>
      <c r="D80" s="1483" cm="1">
        <f t="array" ref="D80">IF(D79&gt;0,SUM((D75:D77)/21*D79)+D78)*D74</f>
        <v>0</v>
      </c>
      <c r="E80" s="1483" cm="1">
        <f t="array" ref="E80">IF(E79&gt;0,SUM((E75:E77)/21*E79)+E78)*E74</f>
        <v>0</v>
      </c>
      <c r="F80" s="1483" cm="1">
        <f t="array" ref="F80">IF(F79&gt;0,SUM((F75:F77)/21*F79)+F78)*F74</f>
        <v>0</v>
      </c>
      <c r="G80" s="1483" cm="1">
        <f t="array" ref="G80">IF(G79&gt;0,SUM((G75:G77)/21*G79)+G78)*G74</f>
        <v>0</v>
      </c>
      <c r="H80" s="1483" cm="1">
        <f t="array" ref="H80">IF(H79&gt;0,SUM((H75:H77)/21*H79)+H78)*H74</f>
        <v>0</v>
      </c>
      <c r="I80" s="1483" cm="1">
        <f t="array" ref="I80">IF(I79&gt;0,SUM((I75:I77)/21*I79)+I78)*I74</f>
        <v>0</v>
      </c>
      <c r="J80" s="1483" cm="1">
        <f t="array" ref="J80">IF(J79&gt;0,SUM((J75:J77)/21*J79)+J78)*J74</f>
        <v>0</v>
      </c>
      <c r="K80" s="1483" cm="1">
        <f t="array" ref="K80">IF(K79&gt;0,SUM((K75:K77)/21*K79)+K78)*K74</f>
        <v>0</v>
      </c>
      <c r="L80" s="1483" cm="1">
        <f t="array" ref="L80">IF(L79&gt;0,SUM((L75:L77)/21*L79)+L78)*L74</f>
        <v>0</v>
      </c>
      <c r="M80" s="1483" cm="1">
        <f t="array" ref="M80">IF(M79&gt;0,SUM((M75:M77)/21*M79)+M78)*M74</f>
        <v>0</v>
      </c>
      <c r="N80" s="1483" cm="1">
        <f t="array" ref="N80">IF(N79&gt;0,SUM((N75:N77)/21*N79)+N78)*N74</f>
        <v>0</v>
      </c>
      <c r="O80" s="1483" cm="1">
        <f t="array" ref="O80">IF(O79&gt;0,SUM((O75:O77)/21*O79)+O78)*O74</f>
        <v>0</v>
      </c>
      <c r="P80" s="1483" cm="1">
        <f t="array" ref="P80">IF(P79&gt;0,SUM((P75:P77)/21*P79)+P78)*P74</f>
        <v>0</v>
      </c>
      <c r="Q80" s="1483" cm="1">
        <f t="array" ref="Q80">IF(Q79&gt;0,SUM((Q75:Q77)/21*Q79)+Q78)*Q74</f>
        <v>0</v>
      </c>
      <c r="R80" s="1483" cm="1">
        <f t="array" ref="R80">IF(R79&gt;0,SUM((R75:R77)/21*R79)+R78)*R74</f>
        <v>0</v>
      </c>
      <c r="S80" s="1483" cm="1">
        <f t="array" ref="S80">IF(S79&gt;0,SUM((S75:S77)/21*S79)+S78)*S74</f>
        <v>0</v>
      </c>
      <c r="T80" s="1604"/>
      <c r="U80" s="1604"/>
      <c r="V80" s="1483" cm="1">
        <f t="array" ref="V80">IF(V79&gt;0,SUM((V75:V77)/21*V79)+V78)*V74</f>
        <v>0</v>
      </c>
      <c r="W80" s="1483" cm="1">
        <f t="array" ref="W80">IF(W79&gt;0,SUM((W75:W77)/21*W79)+W78)*W74</f>
        <v>0</v>
      </c>
      <c r="X80" s="1483" cm="1">
        <f t="array" ref="X80">IF(X79&gt;0,SUM((X75:X77)/21*X79)+X78)*X74</f>
        <v>0</v>
      </c>
      <c r="Y80" s="1483" cm="1">
        <f t="array" ref="Y80">IF(Y79&gt;0,SUM((Y75:Y77)/21*Y79)+Y78)*Y74</f>
        <v>0</v>
      </c>
      <c r="Z80" s="1483" cm="1">
        <f t="array" ref="Z80">IF(Z79&gt;0,SUM((Z75:Z77)/21*Z79)+Z78)*Z74</f>
        <v>0</v>
      </c>
      <c r="AA80" s="1483" cm="1">
        <f t="array" ref="AA80">IF(AA79&gt;0,SUM((AA75:AA77)/21*AA79)+AA78)*AA74</f>
        <v>0</v>
      </c>
      <c r="AB80" s="1483" cm="1">
        <f t="array" ref="AB80">IF(AB79&gt;0,SUM((AB75:AB77)/21*AB79)+AB78)*AB74</f>
        <v>0</v>
      </c>
      <c r="AC80" s="1483" cm="1">
        <f t="array" ref="AC80">IF(AC79&gt;0,SUM((AC75:AC77)/21*AC79)+AC78)*AC74</f>
        <v>0</v>
      </c>
      <c r="AD80" s="1483" cm="1">
        <f t="array" ref="AD80">IF(AD79&gt;0,SUM((AD75:AD77)/21*AD79)+AD78)*AD74</f>
        <v>0</v>
      </c>
      <c r="AE80" s="1483" cm="1">
        <f t="array" ref="AE80">IF(AE79&gt;0,SUM((AE75:AE77)/21*AE79)+AE78)*AE74</f>
        <v>0</v>
      </c>
      <c r="AF80" s="1483" cm="1">
        <f t="array" ref="AF80">IF(AF79&gt;0,SUM((AF75:AF77)/21*AF79)+AF78)*AF74</f>
        <v>0</v>
      </c>
      <c r="AG80" s="1483" cm="1">
        <f t="array" ref="AG80">IF(AG79&gt;0,SUM((AG75:AG77)/21*AG79)+AG78)*AG74</f>
        <v>0</v>
      </c>
      <c r="AH80" s="1545"/>
      <c r="AI80" s="1545"/>
      <c r="AJ80" s="1483" cm="1">
        <f t="array" ref="AJ80">IF(AJ79&gt;0,SUM((AJ75:AJ77)/21*AJ79)+AJ78)*AJ74</f>
        <v>0</v>
      </c>
      <c r="AK80" s="1483" cm="1">
        <f t="array" ref="AK80">IF(AK79&gt;0,SUM((AK75:AK77)/21*AK79)+AK78)*AK74</f>
        <v>0</v>
      </c>
      <c r="AL80" s="1483" cm="1">
        <f t="array" ref="AL80">IF(AL79&gt;0,SUM((AL75:AL77)/21*AL79)+AL78)*AL74</f>
        <v>0</v>
      </c>
      <c r="AM80" s="1483" cm="1">
        <f t="array" ref="AM80">IF(AM79&gt;0,SUM((AM75:AM77)/21*AM79)+AM78)*AM74</f>
        <v>0</v>
      </c>
      <c r="AN80" s="1483" cm="1">
        <f t="array" ref="AN80">IF(AN79&gt;0,SUM((AN75:AN77)/21*AN79)+AN78)*AN74</f>
        <v>0</v>
      </c>
      <c r="AO80" s="1483" cm="1">
        <f t="array" ref="AO80">IF(AO79&gt;0,SUM((AO75:AO77)/21*AO79)+AO78)*AO74</f>
        <v>0</v>
      </c>
      <c r="AP80" s="1483" cm="1">
        <f t="array" ref="AP80">IF(AP79&gt;0,SUM((AP75:AP77)/21*AP79)+AP78)*AP74</f>
        <v>0</v>
      </c>
      <c r="AQ80" s="1483" cm="1">
        <f t="array" ref="AQ80">IF(AQ79&gt;0,SUM((AQ75:AQ77)/21*AQ79)+AQ78)*AQ74</f>
        <v>0</v>
      </c>
      <c r="AR80" s="1483" cm="1">
        <f t="array" ref="AR80">IF(AR79&gt;0,SUM((AR75:AR77)/21*AR79)+AR78)*AR74</f>
        <v>0</v>
      </c>
      <c r="AS80" s="1483" cm="1">
        <f t="array" ref="AS80">IF(AS79&gt;0,SUM((AS75:AS77)/21*AS79)+AS78)*AS74</f>
        <v>0</v>
      </c>
      <c r="AT80" s="1604"/>
      <c r="AU80" s="1604"/>
      <c r="AV80" s="1483" cm="1">
        <f t="array" ref="AV80">IF(AV79&gt;0,SUM((AV75:AV77)/21*AV79)+AV78)*AV74</f>
        <v>0</v>
      </c>
      <c r="AW80" s="1483" cm="1">
        <f t="array" ref="AW80">IF(AW79&gt;0,SUM((AW75:AW77)/21*AW79)+AW78)*AW74</f>
        <v>0</v>
      </c>
      <c r="AX80" s="1483" cm="1">
        <f t="array" ref="AX80">IF(AX79&gt;0,SUM((AX75:AX77)/21*AX79)+AX78)*AX74</f>
        <v>0</v>
      </c>
      <c r="AY80" s="1483" cm="1">
        <f t="array" ref="AY80">IF(AY79&gt;0,SUM((AY75:AY77)/21*AY79)+AY78)*AY74</f>
        <v>0</v>
      </c>
      <c r="AZ80" s="1483" cm="1">
        <f t="array" ref="AZ80">IF(AZ79&gt;0,SUM((AZ75:AZ77)/21*AZ79)+AZ78)*AZ74</f>
        <v>0</v>
      </c>
      <c r="BA80" s="1483" cm="1">
        <f t="array" ref="BA80">IF(BA79&gt;0,SUM((BA75:BA77)/21*BA79)+BA78)*BA74</f>
        <v>0</v>
      </c>
      <c r="BB80" s="1483" cm="1">
        <f t="array" ref="BB80">IF(BB79&gt;0,SUM((BB75:BB77)/21*BB79)+BB78)*BB74</f>
        <v>0</v>
      </c>
      <c r="BC80" s="1483" cm="1">
        <f t="array" ref="BC80">IF(BC79&gt;0,SUM((BC75:BC77)/21*BC79)+BC78)*BC74</f>
        <v>0</v>
      </c>
      <c r="BD80" s="1483" cm="1">
        <f t="array" ref="BD80">IF(BD79&gt;0,SUM((BD75:BD77)/21*BD79)+BD78)*BD74</f>
        <v>0</v>
      </c>
      <c r="BE80" s="1483" cm="1">
        <f t="array" ref="BE80">IF(BE79&gt;0,SUM((BE75:BE77)/21*BE79)+BE78)*BE74</f>
        <v>0</v>
      </c>
      <c r="BF80" s="1604"/>
      <c r="BG80" s="1604"/>
      <c r="BH80" s="1483" cm="1">
        <f t="array" ref="BH80">IF(BH79&gt;0,SUM((BH75:BH77)/21*BH79)+BH78)*BH74</f>
        <v>0</v>
      </c>
      <c r="BI80" s="1483" cm="1">
        <f t="array" ref="BI80">IF(BI79&gt;0,SUM((BI75:BI77)/21*BI79)+BI78)*BI74</f>
        <v>0</v>
      </c>
      <c r="BJ80" s="1483" cm="1">
        <f t="array" ref="BJ80">IF(BJ79&gt;0,SUM((BJ75:BJ77)/21*BJ79)+BJ78)*BJ74</f>
        <v>0</v>
      </c>
      <c r="BK80" s="1483" cm="1">
        <f t="array" ref="BK80">IF(BK79&gt;0,SUM((BK75:BK77)/21*BK79)+BK78)*BK74</f>
        <v>0</v>
      </c>
      <c r="BL80" s="1544"/>
      <c r="BM80" s="1544"/>
      <c r="BN80" s="1483" cm="1">
        <f t="array" ref="BN80">IF(BN79&gt;0,SUM((BN75:BN77)/21*BN79)+BN78)*BN74</f>
        <v>0</v>
      </c>
      <c r="BO80" s="1483" cm="1">
        <f t="array" ref="BO80">IF(BO79&gt;0,SUM((BO75:BO77)/21*BO79)+BO78)*BO74</f>
        <v>0</v>
      </c>
      <c r="BP80" s="1483" cm="1">
        <f t="array" ref="BP80">IF(BP79&gt;0,SUM((BP75:BP77)/21*BP79)+BP78)*BP74</f>
        <v>0</v>
      </c>
      <c r="BQ80" s="1483" cm="1">
        <f t="array" ref="BQ80">IF(BQ79&gt;0,SUM((BQ75:BQ77)/21*BQ79)+BQ78)*BQ74</f>
        <v>0</v>
      </c>
      <c r="BR80" s="1483" cm="1">
        <f t="array" ref="BR80">IF(BR79&gt;0,SUM((BR75:BR77)/21*BR79)+BR78)*BR74</f>
        <v>0</v>
      </c>
      <c r="BS80" s="1483" cm="1">
        <f t="array" ref="BS80">IF(BS79&gt;0,SUM((BS75:BS77)/21*BS79)+BS78)*BS74</f>
        <v>0</v>
      </c>
      <c r="BT80" s="1483" cm="1">
        <f t="array" ref="BT80">IF(BT79&gt;0,SUM((BT75:BT77)/21*BT79)+BT78)*BT74</f>
        <v>0</v>
      </c>
      <c r="BU80" s="1483" cm="1">
        <f t="array" ref="BU80">IF(BU79&gt;0,SUM((BU75:BU77)/21*BU79)+BU78)*BU74</f>
        <v>0</v>
      </c>
      <c r="BV80" s="1483" cm="1">
        <f t="array" ref="BV80">IF(BV79&gt;0,SUM((BV75:BV77)/21*BV79)+BV78)*BV74</f>
        <v>0</v>
      </c>
      <c r="BW80" s="1483" cm="1">
        <f t="array" ref="BW80">IF(BW79&gt;0,SUM((BW75:BW77)/21*BW79)+BW78)*BW74</f>
        <v>0</v>
      </c>
      <c r="BX80" s="1483" cm="1">
        <f t="array" ref="BX80">IF(BX79&gt;0,SUM((BX75:BX77)/21*BX79)+BX78)*BX74</f>
        <v>0</v>
      </c>
      <c r="BY80" s="1604"/>
      <c r="BZ80" s="1604"/>
      <c r="CA80" s="1483" cm="1">
        <f t="array" ref="CA80">IF(CA79&gt;0,SUM((CA75:CA77)/21*CA79)+CA78)*CA74</f>
        <v>0</v>
      </c>
      <c r="CB80" s="1483" cm="1">
        <f t="array" ref="CB80">IF(CB79&gt;0,SUM((CB75:CB77)/21*CB79)+CB78)*CB74</f>
        <v>0</v>
      </c>
      <c r="CC80" s="1483" cm="1">
        <f t="array" ref="CC80">IF(CC79&gt;0,SUM((CC75:CC77)/21*CC79)+CC78)*CC74</f>
        <v>0</v>
      </c>
      <c r="CD80" s="1483" cm="1">
        <f t="array" ref="CD80">IF(CD79&gt;0,SUM((CD75:CD77)/21*CD79)+CD78)*CD74</f>
        <v>0</v>
      </c>
      <c r="CE80" s="1483" cm="1">
        <f t="array" ref="CE80">IF(CE79&gt;0,SUM((CE75:CE77)/21*CE79)+CE78)*CE74</f>
        <v>0</v>
      </c>
      <c r="CF80" s="1604"/>
      <c r="CG80" s="1604"/>
      <c r="CI80" s="1156"/>
      <c r="CJ80" s="1248"/>
    </row>
    <row r="81" spans="1:88" ht="31" customHeight="1" thickBot="1">
      <c r="A81" s="2873">
        <f>'lon undervisning'!A93</f>
        <v>2024</v>
      </c>
      <c r="B81" s="1484" t="str">
        <f>'lon undervisning'!B93</f>
        <v>Antal skyldige feriedage og særlige feriedage pr. 31.12.2024. (Anvendes til feriepengeforpligtigelse)</v>
      </c>
      <c r="C81" s="1485"/>
      <c r="D81" s="1485"/>
      <c r="E81" s="1480"/>
      <c r="F81" s="1480"/>
      <c r="G81" s="1485"/>
      <c r="H81" s="1485"/>
      <c r="I81" s="1485"/>
      <c r="J81" s="1485"/>
      <c r="K81" s="1485"/>
      <c r="L81" s="1485"/>
      <c r="M81" s="1485"/>
      <c r="N81" s="1485"/>
      <c r="O81" s="1485"/>
      <c r="P81" s="1485"/>
      <c r="Q81" s="1485"/>
      <c r="R81" s="1485"/>
      <c r="S81" s="1485"/>
      <c r="T81" s="1487"/>
      <c r="U81" s="1487"/>
      <c r="V81" s="1480"/>
      <c r="W81" s="1485"/>
      <c r="X81" s="1480"/>
      <c r="Y81" s="1480"/>
      <c r="Z81" s="1480"/>
      <c r="AA81" s="1480"/>
      <c r="AB81" s="1480"/>
      <c r="AC81" s="1485"/>
      <c r="AD81" s="1485"/>
      <c r="AE81" s="1485"/>
      <c r="AF81" s="1485"/>
      <c r="AG81" s="1485"/>
      <c r="AH81" s="1487"/>
      <c r="AI81" s="1487"/>
      <c r="AJ81" s="1485"/>
      <c r="AK81" s="1485"/>
      <c r="AL81" s="1485"/>
      <c r="AM81" s="1485"/>
      <c r="AN81" s="1485"/>
      <c r="AO81" s="1485"/>
      <c r="AP81" s="1485"/>
      <c r="AQ81" s="1485"/>
      <c r="AR81" s="1485"/>
      <c r="AS81" s="1485"/>
      <c r="AT81" s="1487"/>
      <c r="AU81" s="1487"/>
      <c r="AV81" s="1485"/>
      <c r="AW81" s="1485"/>
      <c r="AX81" s="1485"/>
      <c r="AY81" s="1485"/>
      <c r="AZ81" s="1485"/>
      <c r="BA81" s="1485"/>
      <c r="BB81" s="1485"/>
      <c r="BC81" s="1485"/>
      <c r="BD81" s="1485"/>
      <c r="BE81" s="1485"/>
      <c r="BF81" s="1487"/>
      <c r="BG81" s="1487"/>
      <c r="BH81" s="1485"/>
      <c r="BI81" s="1485"/>
      <c r="BJ81" s="1485"/>
      <c r="BK81" s="1485"/>
      <c r="BL81" s="1488"/>
      <c r="BM81" s="1488"/>
      <c r="BN81" s="1485"/>
      <c r="BO81" s="1485"/>
      <c r="BP81" s="1485"/>
      <c r="BQ81" s="1485"/>
      <c r="BR81" s="1485"/>
      <c r="BS81" s="1485"/>
      <c r="BT81" s="1485"/>
      <c r="BU81" s="1485"/>
      <c r="BV81" s="1485"/>
      <c r="BW81" s="1485"/>
      <c r="BX81" s="1485"/>
      <c r="BY81" s="1488"/>
      <c r="BZ81" s="1488"/>
      <c r="CA81" s="1485"/>
      <c r="CB81" s="1485"/>
      <c r="CC81" s="1485"/>
      <c r="CD81" s="1485"/>
      <c r="CE81" s="1485"/>
      <c r="CF81" s="1488"/>
      <c r="CG81" s="1488"/>
      <c r="CI81" s="1157"/>
      <c r="CJ81" s="1249"/>
    </row>
    <row r="82" spans="1:88" ht="29" customHeight="1" thickBot="1">
      <c r="A82" s="2948"/>
      <c r="B82" s="1605" t="str">
        <f>'lon undervisning'!B94</f>
        <v>Feriepengeforpligtigelse 2024</v>
      </c>
      <c r="C82" s="1490">
        <f t="shared" ref="C82:S82" si="326">IF(C81&gt;0,((C47/21*C81)+((C41*4)*1.5%))*C74,0)</f>
        <v>0</v>
      </c>
      <c r="D82" s="1490">
        <f t="shared" si="326"/>
        <v>0</v>
      </c>
      <c r="E82" s="1490">
        <f t="shared" si="326"/>
        <v>0</v>
      </c>
      <c r="F82" s="1490">
        <f t="shared" si="326"/>
        <v>0</v>
      </c>
      <c r="G82" s="1490">
        <f t="shared" si="326"/>
        <v>0</v>
      </c>
      <c r="H82" s="1490">
        <f t="shared" si="326"/>
        <v>0</v>
      </c>
      <c r="I82" s="1490">
        <f t="shared" si="326"/>
        <v>0</v>
      </c>
      <c r="J82" s="1490">
        <f t="shared" si="326"/>
        <v>0</v>
      </c>
      <c r="K82" s="1490">
        <f t="shared" si="326"/>
        <v>0</v>
      </c>
      <c r="L82" s="1490">
        <f t="shared" si="326"/>
        <v>0</v>
      </c>
      <c r="M82" s="1490">
        <f t="shared" si="326"/>
        <v>0</v>
      </c>
      <c r="N82" s="1490">
        <f t="shared" si="326"/>
        <v>0</v>
      </c>
      <c r="O82" s="1490">
        <f t="shared" si="326"/>
        <v>0</v>
      </c>
      <c r="P82" s="1490">
        <f t="shared" si="326"/>
        <v>0</v>
      </c>
      <c r="Q82" s="1490">
        <f t="shared" si="326"/>
        <v>0</v>
      </c>
      <c r="R82" s="1490">
        <f t="shared" si="326"/>
        <v>0</v>
      </c>
      <c r="S82" s="1490">
        <f t="shared" si="326"/>
        <v>0</v>
      </c>
      <c r="T82" s="1490">
        <f>T54*15%*T74</f>
        <v>0</v>
      </c>
      <c r="U82" s="1490">
        <f>U54*15%*U74</f>
        <v>0</v>
      </c>
      <c r="V82" s="1490">
        <f t="shared" ref="V82:AG82" si="327">IF(V81&gt;0,((V47/21*V81)+((V41*4)*1.5%))*V74,0)</f>
        <v>0</v>
      </c>
      <c r="W82" s="1490">
        <f t="shared" si="327"/>
        <v>0</v>
      </c>
      <c r="X82" s="1490">
        <f t="shared" si="327"/>
        <v>0</v>
      </c>
      <c r="Y82" s="1490">
        <f t="shared" si="327"/>
        <v>0</v>
      </c>
      <c r="Z82" s="1490">
        <f t="shared" si="327"/>
        <v>0</v>
      </c>
      <c r="AA82" s="1490">
        <f t="shared" si="327"/>
        <v>0</v>
      </c>
      <c r="AB82" s="1490">
        <f t="shared" si="327"/>
        <v>0</v>
      </c>
      <c r="AC82" s="1490">
        <f t="shared" si="327"/>
        <v>0</v>
      </c>
      <c r="AD82" s="1490">
        <f t="shared" si="327"/>
        <v>0</v>
      </c>
      <c r="AE82" s="1490">
        <f t="shared" si="327"/>
        <v>0</v>
      </c>
      <c r="AF82" s="1490">
        <f t="shared" si="327"/>
        <v>0</v>
      </c>
      <c r="AG82" s="1490">
        <f t="shared" si="327"/>
        <v>0</v>
      </c>
      <c r="AH82" s="1490">
        <f>AH54*15%*AH74</f>
        <v>0</v>
      </c>
      <c r="AI82" s="1490">
        <f>AI54*15%*AI74</f>
        <v>0</v>
      </c>
      <c r="AJ82" s="1490">
        <f t="shared" ref="AJ82:AR82" si="328">IF(AJ81&gt;0,((AJ47/21*AJ81)+((AJ41*4)*1.5%))*AJ74,0)</f>
        <v>0</v>
      </c>
      <c r="AK82" s="1490">
        <f t="shared" si="328"/>
        <v>0</v>
      </c>
      <c r="AL82" s="1490">
        <f t="shared" si="328"/>
        <v>0</v>
      </c>
      <c r="AM82" s="1490">
        <f t="shared" si="328"/>
        <v>0</v>
      </c>
      <c r="AN82" s="1490">
        <f t="shared" si="328"/>
        <v>0</v>
      </c>
      <c r="AO82" s="1490">
        <f t="shared" si="328"/>
        <v>0</v>
      </c>
      <c r="AP82" s="1490">
        <f t="shared" si="328"/>
        <v>0</v>
      </c>
      <c r="AQ82" s="1490">
        <f t="shared" si="328"/>
        <v>0</v>
      </c>
      <c r="AR82" s="1490">
        <f t="shared" si="328"/>
        <v>0</v>
      </c>
      <c r="AS82" s="1490"/>
      <c r="AT82" s="1490">
        <f>AT54*15%*AT74</f>
        <v>0</v>
      </c>
      <c r="AU82" s="1490">
        <f>AU54*15%*AU74</f>
        <v>0</v>
      </c>
      <c r="AV82" s="1490">
        <f t="shared" ref="AV82:BD82" si="329">IF(AV81&gt;0,((AV47/21*AV81)+((AV41*4)*1.5%))*AV74,0)</f>
        <v>0</v>
      </c>
      <c r="AW82" s="1490">
        <f t="shared" si="329"/>
        <v>0</v>
      </c>
      <c r="AX82" s="1490">
        <f t="shared" si="329"/>
        <v>0</v>
      </c>
      <c r="AY82" s="1490">
        <f t="shared" si="329"/>
        <v>0</v>
      </c>
      <c r="AZ82" s="1490">
        <f t="shared" si="329"/>
        <v>0</v>
      </c>
      <c r="BA82" s="1490">
        <f t="shared" si="329"/>
        <v>0</v>
      </c>
      <c r="BB82" s="1490">
        <f t="shared" si="329"/>
        <v>0</v>
      </c>
      <c r="BC82" s="1490">
        <f t="shared" si="329"/>
        <v>0</v>
      </c>
      <c r="BD82" s="1490">
        <f t="shared" si="329"/>
        <v>0</v>
      </c>
      <c r="BE82" s="1490"/>
      <c r="BF82" s="1490">
        <f>BF54*15%*BF74</f>
        <v>0</v>
      </c>
      <c r="BG82" s="1490">
        <f>BG54*15%*BG74</f>
        <v>0</v>
      </c>
      <c r="BH82" s="1490">
        <f>IF(BH81&gt;0,((BH47/21*BH81)+((BH41*4)*1.5%))*BH74,0)</f>
        <v>0</v>
      </c>
      <c r="BI82" s="1490">
        <f>IF(BI81&gt;0,((BI47/21*BI81)+((BI41*4)*1.5%))*BI74,0)</f>
        <v>0</v>
      </c>
      <c r="BJ82" s="1490">
        <f>IF(BJ81&gt;0,((BJ47/21*BJ81)+((BJ41*4)*1.5%))*BJ74,0)</f>
        <v>0</v>
      </c>
      <c r="BK82" s="1490">
        <f>IF(BK81&gt;0,((BK47/21*BK81)+((BK41*4)*1.5%))*BK74,0)</f>
        <v>0</v>
      </c>
      <c r="BL82" s="1490">
        <f>BL54*15%*BL74</f>
        <v>0</v>
      </c>
      <c r="BM82" s="1490">
        <f>BM54*15%*BM74</f>
        <v>0</v>
      </c>
      <c r="BN82" s="1490">
        <f t="shared" ref="BN82:BX82" si="330">IF(BN81&gt;0,((BN47/21*BN81)+((BN41*4)*1.5%))*BN74,0)</f>
        <v>0</v>
      </c>
      <c r="BO82" s="1490">
        <f t="shared" si="330"/>
        <v>0</v>
      </c>
      <c r="BP82" s="1490">
        <f t="shared" si="330"/>
        <v>0</v>
      </c>
      <c r="BQ82" s="1490">
        <f t="shared" si="330"/>
        <v>0</v>
      </c>
      <c r="BR82" s="1490">
        <f t="shared" si="330"/>
        <v>0</v>
      </c>
      <c r="BS82" s="1490">
        <f t="shared" si="330"/>
        <v>0</v>
      </c>
      <c r="BT82" s="1490">
        <f t="shared" si="330"/>
        <v>0</v>
      </c>
      <c r="BU82" s="1490">
        <f t="shared" si="330"/>
        <v>0</v>
      </c>
      <c r="BV82" s="1490">
        <f t="shared" si="330"/>
        <v>0</v>
      </c>
      <c r="BW82" s="1490">
        <f t="shared" si="330"/>
        <v>0</v>
      </c>
      <c r="BX82" s="1490">
        <f t="shared" si="330"/>
        <v>0</v>
      </c>
      <c r="BY82" s="1490">
        <f>BY54*15%*BY74</f>
        <v>0</v>
      </c>
      <c r="BZ82" s="1490">
        <f>BZ54*15%*BZ74</f>
        <v>0</v>
      </c>
      <c r="CA82" s="1490">
        <f>IF(CA81&gt;0,((CA47/21*CA81)+((CA41*4)*1.5%))*CA74,0)</f>
        <v>0</v>
      </c>
      <c r="CB82" s="1490">
        <f>IF(CB81&gt;0,((CB47/21*CB81)+((CB41*4)*1.5%))*CB74,0)</f>
        <v>0</v>
      </c>
      <c r="CC82" s="1490">
        <f>IF(CC81&gt;0,((CC47/21*CC81)+((CC41*4)*1.5%))*CC74,0)</f>
        <v>0</v>
      </c>
      <c r="CD82" s="1490">
        <f>IF(CD81&gt;0,((CD47/21*CD81)+((CD41*4)*1.5%))*CD74,0)</f>
        <v>0</v>
      </c>
      <c r="CE82" s="1490">
        <f>IF(CE81&gt;0,((CE47/21*CE81)+((CE41*4)*1.5%))*CE74,0)</f>
        <v>0</v>
      </c>
      <c r="CF82" s="1490">
        <f>CF54*15%*CF74</f>
        <v>0</v>
      </c>
      <c r="CG82" s="1490">
        <f>CG54*15%*CG74</f>
        <v>0</v>
      </c>
      <c r="CI82" s="1250"/>
      <c r="CJ82" s="1251"/>
    </row>
    <row r="83" spans="1:88" ht="27" customHeight="1" thickBot="1">
      <c r="A83" s="2954">
        <f>'lon undervisning'!A95</f>
        <v>2025</v>
      </c>
      <c r="B83" s="1606" t="str">
        <f>'lon undervisning'!B95</f>
        <v>Antal skyldige feriedage og særlige feriedage pr. 31.12.2025. (Anvendes til feriepengeforpligtigelse)</v>
      </c>
      <c r="C83" s="1485"/>
      <c r="D83" s="1485"/>
      <c r="E83" s="1480"/>
      <c r="F83" s="1480"/>
      <c r="G83" s="1485"/>
      <c r="H83" s="1485"/>
      <c r="I83" s="1485"/>
      <c r="J83" s="1485"/>
      <c r="K83" s="1485"/>
      <c r="L83" s="1485"/>
      <c r="M83" s="1485"/>
      <c r="N83" s="1485"/>
      <c r="O83" s="1485"/>
      <c r="P83" s="1485"/>
      <c r="Q83" s="1485"/>
      <c r="R83" s="1485"/>
      <c r="S83" s="1485"/>
      <c r="T83" s="1487"/>
      <c r="U83" s="1487"/>
      <c r="V83" s="1480"/>
      <c r="W83" s="1485"/>
      <c r="X83" s="1480"/>
      <c r="Y83" s="1480"/>
      <c r="Z83" s="1480"/>
      <c r="AA83" s="1480"/>
      <c r="AB83" s="1480"/>
      <c r="AC83" s="1485"/>
      <c r="AD83" s="1485"/>
      <c r="AE83" s="1485"/>
      <c r="AF83" s="1485"/>
      <c r="AG83" s="1485"/>
      <c r="AH83" s="1487"/>
      <c r="AI83" s="1487"/>
      <c r="AJ83" s="1485"/>
      <c r="AK83" s="1485"/>
      <c r="AL83" s="1485"/>
      <c r="AM83" s="1485"/>
      <c r="AN83" s="1485"/>
      <c r="AO83" s="1485"/>
      <c r="AP83" s="1485"/>
      <c r="AQ83" s="1485"/>
      <c r="AR83" s="1485"/>
      <c r="AS83" s="1485"/>
      <c r="AT83" s="1487"/>
      <c r="AU83" s="1487"/>
      <c r="AV83" s="1485"/>
      <c r="AW83" s="1485"/>
      <c r="AX83" s="1485"/>
      <c r="AY83" s="1485"/>
      <c r="AZ83" s="1485"/>
      <c r="BA83" s="1485"/>
      <c r="BB83" s="1485"/>
      <c r="BC83" s="1485"/>
      <c r="BD83" s="1485"/>
      <c r="BE83" s="1485"/>
      <c r="BF83" s="1487"/>
      <c r="BG83" s="1487"/>
      <c r="BH83" s="1485"/>
      <c r="BI83" s="1485"/>
      <c r="BJ83" s="1485"/>
      <c r="BK83" s="1485"/>
      <c r="BL83" s="1488"/>
      <c r="BM83" s="1488"/>
      <c r="BN83" s="1485"/>
      <c r="BO83" s="1485"/>
      <c r="BP83" s="1485"/>
      <c r="BQ83" s="1485"/>
      <c r="BR83" s="1485"/>
      <c r="BS83" s="1485"/>
      <c r="BT83" s="1485"/>
      <c r="BU83" s="1485"/>
      <c r="BV83" s="1485"/>
      <c r="BW83" s="1485"/>
      <c r="BX83" s="1485"/>
      <c r="BY83" s="1487"/>
      <c r="BZ83" s="1487"/>
      <c r="CA83" s="1485"/>
      <c r="CB83" s="1485"/>
      <c r="CC83" s="1485"/>
      <c r="CD83" s="1485"/>
      <c r="CE83" s="1485"/>
      <c r="CF83" s="1487"/>
      <c r="CG83" s="1487"/>
      <c r="CI83" s="1157"/>
      <c r="CJ83" s="1249"/>
    </row>
    <row r="84" spans="1:88" ht="28" customHeight="1" thickBot="1">
      <c r="A84" s="2954"/>
      <c r="B84" s="1606" t="str">
        <f>'lon undervisning'!B96</f>
        <v>Feriepengeforpligtigelse 2025</v>
      </c>
      <c r="C84" s="1607">
        <f t="shared" ref="C84:S84" si="331">IF(C83&gt;0,((C47/21*C83)+((C41*4)*1.5%))*C74*(1+fremskrivning),0)</f>
        <v>0</v>
      </c>
      <c r="D84" s="1607">
        <f t="shared" si="331"/>
        <v>0</v>
      </c>
      <c r="E84" s="1607">
        <f t="shared" si="331"/>
        <v>0</v>
      </c>
      <c r="F84" s="1607">
        <f t="shared" si="331"/>
        <v>0</v>
      </c>
      <c r="G84" s="1607">
        <f t="shared" si="331"/>
        <v>0</v>
      </c>
      <c r="H84" s="1607">
        <f t="shared" si="331"/>
        <v>0</v>
      </c>
      <c r="I84" s="1607">
        <f t="shared" si="331"/>
        <v>0</v>
      </c>
      <c r="J84" s="1607">
        <f t="shared" si="331"/>
        <v>0</v>
      </c>
      <c r="K84" s="1607">
        <f t="shared" si="331"/>
        <v>0</v>
      </c>
      <c r="L84" s="1607">
        <f t="shared" si="331"/>
        <v>0</v>
      </c>
      <c r="M84" s="1607">
        <f t="shared" si="331"/>
        <v>0</v>
      </c>
      <c r="N84" s="1607">
        <f t="shared" si="331"/>
        <v>0</v>
      </c>
      <c r="O84" s="1607">
        <f t="shared" si="331"/>
        <v>0</v>
      </c>
      <c r="P84" s="1607">
        <f t="shared" si="331"/>
        <v>0</v>
      </c>
      <c r="Q84" s="1607">
        <f t="shared" si="331"/>
        <v>0</v>
      </c>
      <c r="R84" s="1607">
        <f t="shared" si="331"/>
        <v>0</v>
      </c>
      <c r="S84" s="1607">
        <f t="shared" si="331"/>
        <v>0</v>
      </c>
      <c r="T84" s="1607">
        <f>T55*15%*T74</f>
        <v>0</v>
      </c>
      <c r="U84" s="1607">
        <f>U55*15%*U74</f>
        <v>0</v>
      </c>
      <c r="V84" s="1607">
        <f t="shared" ref="V84:AG84" si="332">IF(V83&gt;0,((V47/21*V83)+((V41*4)*1.5%))*V74*(1+fremskrivning),0)</f>
        <v>0</v>
      </c>
      <c r="W84" s="1607">
        <f t="shared" si="332"/>
        <v>0</v>
      </c>
      <c r="X84" s="1607">
        <f t="shared" si="332"/>
        <v>0</v>
      </c>
      <c r="Y84" s="1607">
        <f t="shared" si="332"/>
        <v>0</v>
      </c>
      <c r="Z84" s="1607">
        <f t="shared" si="332"/>
        <v>0</v>
      </c>
      <c r="AA84" s="1607">
        <f t="shared" si="332"/>
        <v>0</v>
      </c>
      <c r="AB84" s="1607">
        <f t="shared" si="332"/>
        <v>0</v>
      </c>
      <c r="AC84" s="1607">
        <f t="shared" si="332"/>
        <v>0</v>
      </c>
      <c r="AD84" s="1607">
        <f t="shared" si="332"/>
        <v>0</v>
      </c>
      <c r="AE84" s="1607">
        <f t="shared" si="332"/>
        <v>0</v>
      </c>
      <c r="AF84" s="1607">
        <f t="shared" si="332"/>
        <v>0</v>
      </c>
      <c r="AG84" s="1607">
        <f t="shared" si="332"/>
        <v>0</v>
      </c>
      <c r="AH84" s="1607">
        <f>AH55*15%*AH74</f>
        <v>0</v>
      </c>
      <c r="AI84" s="1607">
        <f>AI55*15%*AI74</f>
        <v>0</v>
      </c>
      <c r="AJ84" s="1607">
        <f t="shared" ref="AJ84:AS84" si="333">IF(AJ83&gt;0,((AJ47/21*AJ83)+((AJ41*4)*1.5%))*AJ74*(1+fremskrivning),0)</f>
        <v>0</v>
      </c>
      <c r="AK84" s="1607">
        <f t="shared" si="333"/>
        <v>0</v>
      </c>
      <c r="AL84" s="1607">
        <f t="shared" si="333"/>
        <v>0</v>
      </c>
      <c r="AM84" s="1607">
        <f t="shared" si="333"/>
        <v>0</v>
      </c>
      <c r="AN84" s="1607">
        <f t="shared" si="333"/>
        <v>0</v>
      </c>
      <c r="AO84" s="1607">
        <f t="shared" si="333"/>
        <v>0</v>
      </c>
      <c r="AP84" s="1607">
        <f t="shared" si="333"/>
        <v>0</v>
      </c>
      <c r="AQ84" s="1607">
        <f t="shared" si="333"/>
        <v>0</v>
      </c>
      <c r="AR84" s="1607">
        <f t="shared" si="333"/>
        <v>0</v>
      </c>
      <c r="AS84" s="1607">
        <f t="shared" si="333"/>
        <v>0</v>
      </c>
      <c r="AT84" s="1607">
        <f>AT55*15%*AT74</f>
        <v>0</v>
      </c>
      <c r="AU84" s="1607">
        <f>AU55*15%*AU74</f>
        <v>0</v>
      </c>
      <c r="AV84" s="1607">
        <f t="shared" ref="AV84:BE84" si="334">IF(AV83&gt;0,((AV47/21*AV83)+((AV41*4)*1.5%))*AV74*(1+fremskrivning),0)</f>
        <v>0</v>
      </c>
      <c r="AW84" s="1607">
        <f t="shared" si="334"/>
        <v>0</v>
      </c>
      <c r="AX84" s="1607">
        <f t="shared" si="334"/>
        <v>0</v>
      </c>
      <c r="AY84" s="1607">
        <f t="shared" si="334"/>
        <v>0</v>
      </c>
      <c r="AZ84" s="1607">
        <f t="shared" si="334"/>
        <v>0</v>
      </c>
      <c r="BA84" s="1607">
        <f t="shared" si="334"/>
        <v>0</v>
      </c>
      <c r="BB84" s="1607">
        <f t="shared" si="334"/>
        <v>0</v>
      </c>
      <c r="BC84" s="1607">
        <f t="shared" si="334"/>
        <v>0</v>
      </c>
      <c r="BD84" s="1607">
        <f t="shared" si="334"/>
        <v>0</v>
      </c>
      <c r="BE84" s="1607">
        <f t="shared" si="334"/>
        <v>0</v>
      </c>
      <c r="BF84" s="1607">
        <f>BF55*15%*BF74</f>
        <v>0</v>
      </c>
      <c r="BG84" s="1607">
        <f>BG55*15%*BG74</f>
        <v>0</v>
      </c>
      <c r="BH84" s="1607">
        <f>IF(BH83&gt;0,((BH47/21*BH83)+((BH41*4)*1.5%))*BH74*(1+fremskrivning),0)</f>
        <v>0</v>
      </c>
      <c r="BI84" s="1607">
        <f>IF(BI83&gt;0,((BI47/21*BI83)+((BI41*4)*1.5%))*BI74*(1+fremskrivning),0)</f>
        <v>0</v>
      </c>
      <c r="BJ84" s="1607">
        <f>IF(BJ83&gt;0,((BJ47/21*BJ83)+((BJ41*4)*1.5%))*BJ74*(1+fremskrivning),0)</f>
        <v>0</v>
      </c>
      <c r="BK84" s="1607">
        <f>IF(BK83&gt;0,((BK47/21*BK83)+((BK41*4)*1.5%))*BK74*(1+fremskrivning),0)</f>
        <v>0</v>
      </c>
      <c r="BL84" s="1607">
        <f>BL55*15%*BL74</f>
        <v>0</v>
      </c>
      <c r="BM84" s="1607">
        <f>BM55*15%*BM74</f>
        <v>0</v>
      </c>
      <c r="BN84" s="1607">
        <f t="shared" ref="BN84:BX84" si="335">IF(BN83&gt;0,((BN47/21*BN83)+((BN41*4)*1.5%))*BN74*(1+fremskrivning),0)</f>
        <v>0</v>
      </c>
      <c r="BO84" s="1607">
        <f t="shared" si="335"/>
        <v>0</v>
      </c>
      <c r="BP84" s="1607">
        <f t="shared" si="335"/>
        <v>0</v>
      </c>
      <c r="BQ84" s="1607">
        <f t="shared" si="335"/>
        <v>0</v>
      </c>
      <c r="BR84" s="1607">
        <f t="shared" si="335"/>
        <v>0</v>
      </c>
      <c r="BS84" s="1607">
        <f t="shared" si="335"/>
        <v>0</v>
      </c>
      <c r="BT84" s="1607">
        <f t="shared" si="335"/>
        <v>0</v>
      </c>
      <c r="BU84" s="1607">
        <f t="shared" si="335"/>
        <v>0</v>
      </c>
      <c r="BV84" s="1607">
        <f t="shared" si="335"/>
        <v>0</v>
      </c>
      <c r="BW84" s="1607">
        <f t="shared" si="335"/>
        <v>0</v>
      </c>
      <c r="BX84" s="1607">
        <f t="shared" si="335"/>
        <v>0</v>
      </c>
      <c r="BY84" s="1607">
        <f>BY55*15%*BY74</f>
        <v>0</v>
      </c>
      <c r="BZ84" s="1607">
        <f>BZ55*15%*BZ74</f>
        <v>0</v>
      </c>
      <c r="CA84" s="1607">
        <f>IF(CA83&gt;0,((CA47/21*CA83)+((CA41*4)*1.5%))*CA74*(1+fremskrivning),0)</f>
        <v>0</v>
      </c>
      <c r="CB84" s="1607">
        <f>IF(CB83&gt;0,((CB47/21*CB83)+((CB41*4)*1.5%))*CB74*(1+fremskrivning),0)</f>
        <v>0</v>
      </c>
      <c r="CC84" s="1607">
        <f>IF(CC83&gt;0,((CC47/21*CC83)+((CC41*4)*1.5%))*CC74*(1+fremskrivning),0)</f>
        <v>0</v>
      </c>
      <c r="CD84" s="1607">
        <f>IF(CD83&gt;0,((CD47/21*CD83)+((CD41*4)*1.5%))*CD74*(1+fremskrivning),0)</f>
        <v>0</v>
      </c>
      <c r="CE84" s="1607">
        <f>IF(CE83&gt;0,((CE47/21*CE83)+((CE41*4)*1.5%))*CE74*(1+fremskrivning),0)</f>
        <v>0</v>
      </c>
      <c r="CF84" s="1607">
        <f>CF55*15%*CF74</f>
        <v>0</v>
      </c>
      <c r="CG84" s="1607">
        <f>CG55*15%*CG74</f>
        <v>0</v>
      </c>
      <c r="CI84" s="1252"/>
      <c r="CJ84" s="1251"/>
    </row>
    <row r="85" spans="1:88" ht="28" customHeight="1">
      <c r="A85" s="2944" t="str">
        <f>"FERIEPENGEFORPLIGTIGELSE "&amp;budgetår&amp;""</f>
        <v>FERIEPENGEFORPLIGTIGELSE 2024</v>
      </c>
      <c r="B85" s="2944"/>
      <c r="C85" s="1608"/>
      <c r="D85" s="1608"/>
      <c r="E85" s="1608"/>
      <c r="F85" s="1608"/>
      <c r="G85" s="1608"/>
      <c r="H85" s="1608"/>
      <c r="I85" s="1608"/>
      <c r="J85" s="1608"/>
      <c r="K85" s="1608"/>
      <c r="L85" s="1608"/>
      <c r="M85" s="1608"/>
      <c r="N85" s="1608"/>
      <c r="O85" s="1608"/>
      <c r="P85" s="1608"/>
      <c r="Q85" s="1608"/>
      <c r="R85" s="1608"/>
      <c r="S85" s="1608"/>
      <c r="T85" s="1609" t="str">
        <f>"FP"&amp;budgetår&amp;""</f>
        <v>FP2024</v>
      </c>
      <c r="U85" s="1610">
        <f>SUM(C82:S82)-SUM(C80:S80)</f>
        <v>0</v>
      </c>
      <c r="V85" s="1608"/>
      <c r="W85" s="1608"/>
      <c r="X85" s="1608"/>
      <c r="Y85" s="1608"/>
      <c r="Z85" s="1608"/>
      <c r="AA85" s="1608"/>
      <c r="AB85" s="1608"/>
      <c r="AC85" s="1608"/>
      <c r="AD85" s="1608"/>
      <c r="AE85" s="1608"/>
      <c r="AF85" s="1608"/>
      <c r="AG85" s="1608"/>
      <c r="AH85" s="1609" t="str">
        <f>"FP"&amp;budgetår&amp;""</f>
        <v>FP2024</v>
      </c>
      <c r="AI85" s="1610">
        <f>SUM(V82:AG82)-SUM(V80:AG80)</f>
        <v>0</v>
      </c>
      <c r="AJ85" s="1611"/>
      <c r="AK85" s="1611"/>
      <c r="AL85" s="1611"/>
      <c r="AM85" s="1611"/>
      <c r="AN85" s="1611"/>
      <c r="AO85" s="1611"/>
      <c r="AP85" s="1611"/>
      <c r="AQ85" s="1611"/>
      <c r="AR85" s="1611"/>
      <c r="AS85" s="1611"/>
      <c r="AT85" s="1609" t="str">
        <f>"FP"&amp;budgetår&amp;""</f>
        <v>FP2024</v>
      </c>
      <c r="AU85" s="1612">
        <f>SUM(AJ82:AS82)-SUM(AJ80:AS80)</f>
        <v>0</v>
      </c>
      <c r="AV85" s="1611"/>
      <c r="AW85" s="1611"/>
      <c r="AX85" s="1611"/>
      <c r="AY85" s="1611"/>
      <c r="AZ85" s="1611"/>
      <c r="BA85" s="1611"/>
      <c r="BB85" s="1611"/>
      <c r="BC85" s="1611"/>
      <c r="BD85" s="1611"/>
      <c r="BE85" s="1611"/>
      <c r="BF85" s="1609" t="str">
        <f>"FP"&amp;budgetår&amp;""</f>
        <v>FP2024</v>
      </c>
      <c r="BG85" s="1612">
        <f>SUM(AV82:BE82)-SUM(AV80:BE80)</f>
        <v>0</v>
      </c>
      <c r="BH85" s="1611"/>
      <c r="BI85" s="1611"/>
      <c r="BJ85" s="1611"/>
      <c r="BK85" s="1611"/>
      <c r="BL85" s="1609" t="str">
        <f>"FP"&amp;budgetår&amp;""</f>
        <v>FP2024</v>
      </c>
      <c r="BM85" s="1612">
        <f>SUM(BH82:BK82)-SUM(BH80:BK80)</f>
        <v>0</v>
      </c>
      <c r="BN85" s="1611"/>
      <c r="BO85" s="1611"/>
      <c r="BP85" s="1611"/>
      <c r="BQ85" s="1611"/>
      <c r="BR85" s="1611"/>
      <c r="BS85" s="1611"/>
      <c r="BT85" s="1611"/>
      <c r="BU85" s="1611"/>
      <c r="BV85" s="1611"/>
      <c r="BW85" s="1611"/>
      <c r="BX85" s="1611"/>
      <c r="BY85" s="1609" t="str">
        <f>"FP"&amp;budgetår&amp;""</f>
        <v>FP2024</v>
      </c>
      <c r="BZ85" s="1612">
        <f>SUM(BN82:BX82)-SUM(BN80:BX80)</f>
        <v>0</v>
      </c>
      <c r="CA85" s="1611"/>
      <c r="CB85" s="1611"/>
      <c r="CC85" s="1611"/>
      <c r="CD85" s="1611"/>
      <c r="CE85" s="1611"/>
      <c r="CF85" s="1609" t="str">
        <f>"FP"&amp;budgetår&amp;""</f>
        <v>FP2024</v>
      </c>
      <c r="CG85" s="1612">
        <f>SUM(CA82:CE82)-SUM(CA80:CE80)</f>
        <v>0</v>
      </c>
      <c r="CI85" s="1253"/>
      <c r="CJ85" s="1254"/>
    </row>
    <row r="86" spans="1:88" ht="28" customHeight="1" thickBot="1">
      <c r="A86" s="2944" t="str">
        <f>"FERIEPENGEFORPLIGTIGELSE "&amp;budgetår+1&amp;""</f>
        <v>FERIEPENGEFORPLIGTIGELSE 2025</v>
      </c>
      <c r="B86" s="2944"/>
      <c r="C86" s="1613"/>
      <c r="D86" s="1613"/>
      <c r="E86" s="1613"/>
      <c r="F86" s="1613"/>
      <c r="G86" s="1613"/>
      <c r="H86" s="1613"/>
      <c r="I86" s="1613"/>
      <c r="J86" s="1613"/>
      <c r="K86" s="1613"/>
      <c r="L86" s="1613"/>
      <c r="M86" s="1613"/>
      <c r="N86" s="1613"/>
      <c r="O86" s="1613"/>
      <c r="P86" s="1613"/>
      <c r="Q86" s="1613"/>
      <c r="R86" s="1613"/>
      <c r="S86" s="1613"/>
      <c r="T86" s="1609" t="str">
        <f>"FP"&amp;budgetår+1&amp;""</f>
        <v>FP2025</v>
      </c>
      <c r="U86" s="1614">
        <f>SUM(C84:S84)-SUM(C82:S82)</f>
        <v>0</v>
      </c>
      <c r="V86" s="1613"/>
      <c r="W86" s="1613"/>
      <c r="X86" s="1613"/>
      <c r="Y86" s="1613"/>
      <c r="Z86" s="1613"/>
      <c r="AA86" s="1613"/>
      <c r="AB86" s="1613"/>
      <c r="AC86" s="1613"/>
      <c r="AD86" s="1613"/>
      <c r="AE86" s="1613"/>
      <c r="AF86" s="1613"/>
      <c r="AG86" s="1613"/>
      <c r="AH86" s="1609" t="str">
        <f>"FP"&amp;budgetår+1&amp;""</f>
        <v>FP2025</v>
      </c>
      <c r="AI86" s="1614">
        <f>SUM(V84:AG84)-SUM(V82:AG82)</f>
        <v>0</v>
      </c>
      <c r="AJ86" s="1611"/>
      <c r="AK86" s="1611"/>
      <c r="AL86" s="1611"/>
      <c r="AM86" s="1611"/>
      <c r="AN86" s="1611"/>
      <c r="AO86" s="1611"/>
      <c r="AP86" s="1611"/>
      <c r="AQ86" s="1611"/>
      <c r="AR86" s="1611"/>
      <c r="AS86" s="1611"/>
      <c r="AT86" s="1609" t="str">
        <f>"FP"&amp;budgetår+1&amp;""</f>
        <v>FP2025</v>
      </c>
      <c r="AU86" s="1612">
        <f>SUM(AJ84:AS84)-SUM(AJ82:AS82)</f>
        <v>0</v>
      </c>
      <c r="AV86" s="1611"/>
      <c r="AW86" s="1611"/>
      <c r="AX86" s="1611"/>
      <c r="AY86" s="1611"/>
      <c r="AZ86" s="1611"/>
      <c r="BA86" s="1611"/>
      <c r="BB86" s="1611"/>
      <c r="BC86" s="1611"/>
      <c r="BD86" s="1611"/>
      <c r="BE86" s="1611"/>
      <c r="BF86" s="1609" t="str">
        <f>"FP"&amp;budgetår+1&amp;""</f>
        <v>FP2025</v>
      </c>
      <c r="BG86" s="1612">
        <f>SUM(AV84:BE84)-SUM(AV82:BE82)</f>
        <v>0</v>
      </c>
      <c r="BH86" s="1611"/>
      <c r="BI86" s="1611"/>
      <c r="BJ86" s="1611"/>
      <c r="BK86" s="1611"/>
      <c r="BL86" s="1609" t="str">
        <f>"FP"&amp;budgetår+1&amp;""</f>
        <v>FP2025</v>
      </c>
      <c r="BM86" s="1612">
        <f>SUM(BH84:BK84)-SUM(BH82:BK82)</f>
        <v>0</v>
      </c>
      <c r="BN86" s="1611"/>
      <c r="BO86" s="1611"/>
      <c r="BP86" s="1611"/>
      <c r="BQ86" s="1611"/>
      <c r="BR86" s="1611"/>
      <c r="BS86" s="1611"/>
      <c r="BT86" s="1611"/>
      <c r="BU86" s="1611"/>
      <c r="BV86" s="1611"/>
      <c r="BW86" s="1611"/>
      <c r="BX86" s="1611"/>
      <c r="BY86" s="1609" t="str">
        <f>"FP"&amp;budgetår+1&amp;""</f>
        <v>FP2025</v>
      </c>
      <c r="BZ86" s="1612">
        <f>SUM(BN84:BX84)-SUM(BN82:BX82)</f>
        <v>0</v>
      </c>
      <c r="CA86" s="1611"/>
      <c r="CB86" s="1611"/>
      <c r="CC86" s="1611"/>
      <c r="CD86" s="1611"/>
      <c r="CE86" s="1611"/>
      <c r="CF86" s="1609" t="str">
        <f>"FP"&amp;budgetår+1&amp;""</f>
        <v>FP2025</v>
      </c>
      <c r="CG86" s="1612">
        <f>SUM(CA84:CE84)-SUM(CA82:CE82)</f>
        <v>0</v>
      </c>
      <c r="CI86" s="1253"/>
      <c r="CJ86" s="1254"/>
    </row>
    <row r="87" spans="1:88" ht="16">
      <c r="A87" s="1593"/>
      <c r="B87" s="1615" t="str">
        <f>"Lønafhængige omkostninger "&amp;budgetår&amp;""</f>
        <v>Lønafhængige omkostninger 2024</v>
      </c>
      <c r="C87" s="1616"/>
      <c r="D87" s="1583"/>
      <c r="E87" s="1583"/>
      <c r="F87" s="1583"/>
      <c r="G87" s="1583"/>
      <c r="H87" s="1583"/>
      <c r="I87" s="1583"/>
      <c r="J87" s="1583"/>
      <c r="K87" s="1583"/>
      <c r="L87" s="1583"/>
      <c r="M87" s="1583"/>
      <c r="N87" s="1583"/>
      <c r="O87" s="1583"/>
      <c r="P87" s="1583"/>
      <c r="Q87" s="1583"/>
      <c r="R87" s="1583"/>
      <c r="S87" s="1583"/>
      <c r="T87" s="1583"/>
      <c r="U87" s="1617"/>
      <c r="V87" s="1583"/>
      <c r="W87" s="1583"/>
      <c r="X87" s="1583"/>
      <c r="Y87" s="1583"/>
      <c r="Z87" s="1583"/>
      <c r="AA87" s="1583"/>
      <c r="AB87" s="1583"/>
      <c r="AC87" s="1583"/>
      <c r="AD87" s="1583"/>
      <c r="AE87" s="1583"/>
      <c r="AF87" s="1583"/>
      <c r="AG87" s="1583"/>
      <c r="AH87" s="1583"/>
      <c r="AI87" s="1617"/>
      <c r="AJ87" s="1618"/>
      <c r="AK87" s="1618"/>
      <c r="AL87" s="1618"/>
      <c r="AM87" s="1618"/>
      <c r="AN87" s="1618"/>
      <c r="AO87" s="1618"/>
      <c r="AP87" s="1618"/>
      <c r="AQ87" s="1618"/>
      <c r="AR87" s="1618"/>
      <c r="AS87" s="1618"/>
      <c r="AT87" s="1618"/>
      <c r="AU87" s="1619"/>
      <c r="AV87" s="1618"/>
      <c r="AW87" s="1618"/>
      <c r="AX87" s="1618"/>
      <c r="AY87" s="1618"/>
      <c r="AZ87" s="1618"/>
      <c r="BA87" s="1618"/>
      <c r="BB87" s="1618"/>
      <c r="BC87" s="1618"/>
      <c r="BD87" s="1618"/>
      <c r="BE87" s="1618"/>
      <c r="BF87" s="1618"/>
      <c r="BG87" s="1619"/>
      <c r="BH87" s="1620"/>
      <c r="BI87" s="1620"/>
      <c r="BJ87" s="1620"/>
      <c r="BK87" s="1620"/>
      <c r="BL87" s="1618"/>
      <c r="BM87" s="1619"/>
      <c r="BN87" s="1620"/>
      <c r="BO87" s="1620"/>
      <c r="BP87" s="1620"/>
      <c r="BQ87" s="1620"/>
      <c r="BR87" s="1620"/>
      <c r="BS87" s="1620"/>
      <c r="BT87" s="1620"/>
      <c r="BU87" s="1620"/>
      <c r="BV87" s="1620"/>
      <c r="BW87" s="1620"/>
      <c r="BX87" s="1620"/>
      <c r="BY87" s="1618"/>
      <c r="BZ87" s="1619"/>
      <c r="CA87" s="1620"/>
      <c r="CB87" s="1620"/>
      <c r="CC87" s="1620"/>
      <c r="CD87" s="1620"/>
      <c r="CE87" s="1620"/>
      <c r="CF87" s="1618"/>
      <c r="CG87" s="1619"/>
    </row>
    <row r="88" spans="1:88">
      <c r="A88" s="1593"/>
      <c r="B88" s="1585" t="str">
        <f>"Flexlønsordning(Kun for skolens ansatte): "&amp;FlexBidr&amp;" kr. pr årsværk"</f>
        <v>Flexlønsordning(Kun for skolens ansatte): 6053,46 kr. pr årsværk</v>
      </c>
      <c r="C88" s="1621">
        <f t="shared" ref="C88:S88" si="336">C$24*C$13/12*FlexBidr</f>
        <v>0</v>
      </c>
      <c r="D88" s="1622">
        <f t="shared" si="336"/>
        <v>0</v>
      </c>
      <c r="E88" s="1623">
        <f t="shared" si="336"/>
        <v>0</v>
      </c>
      <c r="F88" s="1623">
        <f t="shared" si="336"/>
        <v>0</v>
      </c>
      <c r="G88" s="1623">
        <f t="shared" si="336"/>
        <v>0</v>
      </c>
      <c r="H88" s="1623">
        <f t="shared" si="336"/>
        <v>0</v>
      </c>
      <c r="I88" s="1623">
        <f t="shared" si="336"/>
        <v>0</v>
      </c>
      <c r="J88" s="1623">
        <f t="shared" si="336"/>
        <v>0</v>
      </c>
      <c r="K88" s="1623">
        <f t="shared" si="336"/>
        <v>0</v>
      </c>
      <c r="L88" s="1623">
        <f t="shared" si="336"/>
        <v>0</v>
      </c>
      <c r="M88" s="1623">
        <f t="shared" si="336"/>
        <v>0</v>
      </c>
      <c r="N88" s="1623">
        <f t="shared" si="336"/>
        <v>0</v>
      </c>
      <c r="O88" s="1623">
        <f t="shared" si="336"/>
        <v>0</v>
      </c>
      <c r="P88" s="1623">
        <f t="shared" si="336"/>
        <v>0</v>
      </c>
      <c r="Q88" s="1623">
        <f t="shared" si="336"/>
        <v>0</v>
      </c>
      <c r="R88" s="1623">
        <f t="shared" si="336"/>
        <v>0</v>
      </c>
      <c r="S88" s="1623">
        <f t="shared" si="336"/>
        <v>0</v>
      </c>
      <c r="T88" s="1624">
        <f>(T9/160.33)*T13/12*FlexBidr</f>
        <v>0</v>
      </c>
      <c r="U88" s="1624">
        <f>(U9/160.33)*U13/12*FlexBidr</f>
        <v>0</v>
      </c>
      <c r="V88" s="1625">
        <v>0</v>
      </c>
      <c r="W88" s="1625">
        <v>0</v>
      </c>
      <c r="X88" s="1626">
        <v>0</v>
      </c>
      <c r="Y88" s="1626">
        <v>0</v>
      </c>
      <c r="Z88" s="1626">
        <v>0</v>
      </c>
      <c r="AA88" s="1626">
        <v>0</v>
      </c>
      <c r="AB88" s="1626">
        <v>0</v>
      </c>
      <c r="AC88" s="1626">
        <v>0</v>
      </c>
      <c r="AD88" s="1626">
        <v>0</v>
      </c>
      <c r="AE88" s="1626">
        <v>0</v>
      </c>
      <c r="AF88" s="1626">
        <v>0</v>
      </c>
      <c r="AG88" s="1626">
        <v>0</v>
      </c>
      <c r="AH88" s="1627">
        <v>0</v>
      </c>
      <c r="AI88" s="1628">
        <v>0</v>
      </c>
      <c r="AJ88" s="1625">
        <v>0</v>
      </c>
      <c r="AK88" s="1625">
        <v>0</v>
      </c>
      <c r="AL88" s="1626">
        <v>0</v>
      </c>
      <c r="AM88" s="1626">
        <v>0</v>
      </c>
      <c r="AN88" s="1626">
        <v>0</v>
      </c>
      <c r="AO88" s="1626">
        <v>0</v>
      </c>
      <c r="AP88" s="1626">
        <v>0</v>
      </c>
      <c r="AQ88" s="1626">
        <v>0</v>
      </c>
      <c r="AR88" s="1626">
        <v>0</v>
      </c>
      <c r="AS88" s="1626">
        <v>0</v>
      </c>
      <c r="AT88" s="1623"/>
      <c r="AU88" s="1629"/>
      <c r="AV88" s="1625">
        <v>0</v>
      </c>
      <c r="AW88" s="1625">
        <v>0</v>
      </c>
      <c r="AX88" s="1626">
        <v>0</v>
      </c>
      <c r="AY88" s="1626">
        <v>0</v>
      </c>
      <c r="AZ88" s="1626">
        <v>0</v>
      </c>
      <c r="BA88" s="1626">
        <v>0</v>
      </c>
      <c r="BB88" s="1626">
        <v>0</v>
      </c>
      <c r="BC88" s="1626">
        <v>0</v>
      </c>
      <c r="BD88" s="1626">
        <v>0</v>
      </c>
      <c r="BE88" s="1626">
        <v>0</v>
      </c>
      <c r="BF88" s="1623">
        <f>(BF9/160.33)*BF13/12*FlexBidr</f>
        <v>0</v>
      </c>
      <c r="BG88" s="1623">
        <f>(BG9/160.33)*BG13/12*FlexBidr</f>
        <v>0</v>
      </c>
      <c r="BH88" s="1625">
        <f>BH$24*BH$13/12*FlexBidr</f>
        <v>0</v>
      </c>
      <c r="BI88" s="1630">
        <f>BI$24*BI$13/12*FlexBidr</f>
        <v>0</v>
      </c>
      <c r="BJ88" s="1630">
        <f>BJ$24*BJ$13/12*FlexBidr</f>
        <v>0</v>
      </c>
      <c r="BK88" s="1630">
        <f>BK$24*BK$13/12*FlexBidr</f>
        <v>0</v>
      </c>
      <c r="BL88" s="1623">
        <f>(BL9/160.33)*BL13/12*FlexBidr</f>
        <v>0</v>
      </c>
      <c r="BM88" s="1623">
        <f>(BM9/160.33)*BM13/12*FlexBidr</f>
        <v>0</v>
      </c>
      <c r="BN88" s="1625">
        <f t="shared" ref="BN88:BX88" si="337">BN$24*BN$13/12*FlexBidr</f>
        <v>0</v>
      </c>
      <c r="BO88" s="1625">
        <f t="shared" si="337"/>
        <v>0</v>
      </c>
      <c r="BP88" s="1630">
        <f t="shared" si="337"/>
        <v>0</v>
      </c>
      <c r="BQ88" s="1630">
        <f t="shared" si="337"/>
        <v>0</v>
      </c>
      <c r="BR88" s="1630">
        <f t="shared" si="337"/>
        <v>0</v>
      </c>
      <c r="BS88" s="1630">
        <f t="shared" si="337"/>
        <v>0</v>
      </c>
      <c r="BT88" s="1630">
        <f t="shared" si="337"/>
        <v>0</v>
      </c>
      <c r="BU88" s="1630">
        <f t="shared" si="337"/>
        <v>0</v>
      </c>
      <c r="BV88" s="1630">
        <f t="shared" si="337"/>
        <v>0</v>
      </c>
      <c r="BW88" s="1630">
        <f t="shared" si="337"/>
        <v>0</v>
      </c>
      <c r="BX88" s="1630">
        <f t="shared" si="337"/>
        <v>0</v>
      </c>
      <c r="BY88" s="1623">
        <f>(BY9/160.33)*BY13/12*FlexBidr</f>
        <v>0</v>
      </c>
      <c r="BZ88" s="1623">
        <f>(BZ9/160.33)*BZ13/12*FlexBidr</f>
        <v>0</v>
      </c>
      <c r="CA88" s="1625">
        <f>CA$24*CA$13/12*FlexBidr</f>
        <v>0</v>
      </c>
      <c r="CB88" s="1630">
        <f>CB$24*CB$13/12*FlexBidr</f>
        <v>0</v>
      </c>
      <c r="CC88" s="1630">
        <f>CC$24*CC$13/12*FlexBidr</f>
        <v>0</v>
      </c>
      <c r="CD88" s="1630">
        <f>CD$24*CD$13/12*FlexBidr</f>
        <v>0</v>
      </c>
      <c r="CE88" s="1630">
        <f>CE$24*CE$13/12*FlexBidr</f>
        <v>0</v>
      </c>
      <c r="CF88" s="1623">
        <f>($CF$9/160.33)*CF13/12*FlexBidr</f>
        <v>0</v>
      </c>
      <c r="CG88" s="1623">
        <f>($CG$9/160.33)*CG13/12*FlexBidr</f>
        <v>0</v>
      </c>
    </row>
    <row r="89" spans="1:88" ht="14" thickBot="1">
      <c r="A89" s="1593"/>
      <c r="B89" s="1631" t="str">
        <f>"Samlet betaling: "&amp;SatsBilag!$B$28&amp;" kr. pr årsværk samt barsel.dk f. Bh."</f>
        <v>Samlet betaling: 4408,145 kr. pr årsværk samt barsel.dk f. Bh.</v>
      </c>
      <c r="C89" s="1632">
        <f t="shared" ref="C89:S89" si="338">C$24*C$13/12*AER</f>
        <v>0</v>
      </c>
      <c r="D89" s="1633">
        <f t="shared" si="338"/>
        <v>0</v>
      </c>
      <c r="E89" s="1634">
        <f t="shared" si="338"/>
        <v>0</v>
      </c>
      <c r="F89" s="1634">
        <f t="shared" si="338"/>
        <v>0</v>
      </c>
      <c r="G89" s="1634">
        <f t="shared" si="338"/>
        <v>0</v>
      </c>
      <c r="H89" s="1634">
        <f t="shared" si="338"/>
        <v>0</v>
      </c>
      <c r="I89" s="1634">
        <f t="shared" si="338"/>
        <v>0</v>
      </c>
      <c r="J89" s="1634">
        <f t="shared" si="338"/>
        <v>0</v>
      </c>
      <c r="K89" s="1634">
        <f t="shared" si="338"/>
        <v>0</v>
      </c>
      <c r="L89" s="1634">
        <f t="shared" si="338"/>
        <v>0</v>
      </c>
      <c r="M89" s="1634">
        <f t="shared" si="338"/>
        <v>0</v>
      </c>
      <c r="N89" s="1634">
        <f t="shared" si="338"/>
        <v>0</v>
      </c>
      <c r="O89" s="1634">
        <f t="shared" si="338"/>
        <v>0</v>
      </c>
      <c r="P89" s="1634">
        <f t="shared" si="338"/>
        <v>0</v>
      </c>
      <c r="Q89" s="1634">
        <f t="shared" si="338"/>
        <v>0</v>
      </c>
      <c r="R89" s="1634">
        <f t="shared" si="338"/>
        <v>0</v>
      </c>
      <c r="S89" s="1634">
        <f t="shared" si="338"/>
        <v>0</v>
      </c>
      <c r="T89" s="1634">
        <f>(T9/160.33)*T13/12*AER</f>
        <v>0</v>
      </c>
      <c r="U89" s="1634">
        <f>(U9/160.33)*U13/12*AER</f>
        <v>0</v>
      </c>
      <c r="V89" s="1635">
        <f t="shared" ref="V89:AG89" si="339">(AER+BarselBidr)*V$24*V$13/12</f>
        <v>0</v>
      </c>
      <c r="W89" s="1635">
        <f t="shared" si="339"/>
        <v>0</v>
      </c>
      <c r="X89" s="1636">
        <f t="shared" si="339"/>
        <v>0</v>
      </c>
      <c r="Y89" s="1636">
        <f t="shared" si="339"/>
        <v>0</v>
      </c>
      <c r="Z89" s="1636">
        <f t="shared" si="339"/>
        <v>0</v>
      </c>
      <c r="AA89" s="1636">
        <f t="shared" si="339"/>
        <v>0</v>
      </c>
      <c r="AB89" s="1636">
        <f t="shared" si="339"/>
        <v>0</v>
      </c>
      <c r="AC89" s="1636">
        <f t="shared" si="339"/>
        <v>0</v>
      </c>
      <c r="AD89" s="1636">
        <f t="shared" si="339"/>
        <v>0</v>
      </c>
      <c r="AE89" s="1636">
        <f t="shared" si="339"/>
        <v>0</v>
      </c>
      <c r="AF89" s="1636">
        <f t="shared" si="339"/>
        <v>0</v>
      </c>
      <c r="AG89" s="1636">
        <f t="shared" si="339"/>
        <v>0</v>
      </c>
      <c r="AH89" s="1637">
        <f>([0]!AER+BarselBidr)*'Lon pæd., TAP mm'!AH9/160.33*'Lon pæd., TAP mm'!AH13/12</f>
        <v>0</v>
      </c>
      <c r="AI89" s="1637">
        <f>([0]!AER+BarselBidr)*'Lon pæd., TAP mm'!AI9/160.33*'Lon pæd., TAP mm'!AI13/12</f>
        <v>0</v>
      </c>
      <c r="AJ89" s="1635">
        <f t="shared" ref="AJ89:AS89" si="340">(AER+BarselBidr)*AJ$24*AJ$13/12</f>
        <v>0</v>
      </c>
      <c r="AK89" s="1635">
        <f t="shared" si="340"/>
        <v>0</v>
      </c>
      <c r="AL89" s="1636">
        <f t="shared" si="340"/>
        <v>0</v>
      </c>
      <c r="AM89" s="1636">
        <f t="shared" si="340"/>
        <v>0</v>
      </c>
      <c r="AN89" s="1636">
        <f t="shared" si="340"/>
        <v>0</v>
      </c>
      <c r="AO89" s="1636">
        <f t="shared" si="340"/>
        <v>0</v>
      </c>
      <c r="AP89" s="1636">
        <f t="shared" si="340"/>
        <v>0</v>
      </c>
      <c r="AQ89" s="1636">
        <f t="shared" si="340"/>
        <v>0</v>
      </c>
      <c r="AR89" s="1636">
        <f t="shared" si="340"/>
        <v>0</v>
      </c>
      <c r="AS89" s="1636">
        <f t="shared" si="340"/>
        <v>0</v>
      </c>
      <c r="AT89" s="1634">
        <f>([0]!AER+BarselBidr)*'Lon pæd., TAP mm'!AT9/160.33*'Lon pæd., TAP mm'!AT13/12</f>
        <v>0</v>
      </c>
      <c r="AU89" s="1634">
        <f>([0]!AER+BarselBidr)*'Lon pæd., TAP mm'!AU9/160.33*'Lon pæd., TAP mm'!AU13/12</f>
        <v>0</v>
      </c>
      <c r="AV89" s="1635">
        <f t="shared" ref="AV89:BE89" si="341">(AER+BarselBidr)*AV$24*AV$13/12</f>
        <v>0</v>
      </c>
      <c r="AW89" s="1635">
        <f t="shared" si="341"/>
        <v>0</v>
      </c>
      <c r="AX89" s="1636">
        <f t="shared" si="341"/>
        <v>0</v>
      </c>
      <c r="AY89" s="1636">
        <f t="shared" si="341"/>
        <v>0</v>
      </c>
      <c r="AZ89" s="1636">
        <f t="shared" si="341"/>
        <v>0</v>
      </c>
      <c r="BA89" s="1636">
        <f t="shared" si="341"/>
        <v>0</v>
      </c>
      <c r="BB89" s="1636">
        <f t="shared" si="341"/>
        <v>0</v>
      </c>
      <c r="BC89" s="1636">
        <f t="shared" si="341"/>
        <v>0</v>
      </c>
      <c r="BD89" s="1636">
        <f t="shared" si="341"/>
        <v>0</v>
      </c>
      <c r="BE89" s="1636">
        <f t="shared" si="341"/>
        <v>0</v>
      </c>
      <c r="BF89" s="1634">
        <f>(BF9/160.33)*BF13/12*AER</f>
        <v>0</v>
      </c>
      <c r="BG89" s="1634">
        <f>(BG9/160.33)*BG13/12*AER</f>
        <v>0</v>
      </c>
      <c r="BH89" s="1635">
        <f>BH$24*BH$13/12*AER</f>
        <v>0</v>
      </c>
      <c r="BI89" s="1638">
        <f>BI$24*BI$13/12*AER</f>
        <v>0</v>
      </c>
      <c r="BJ89" s="1638">
        <f>BJ$24*BJ$13/12*AER</f>
        <v>0</v>
      </c>
      <c r="BK89" s="1638">
        <f>BK$24*BK$13/12*AER</f>
        <v>0</v>
      </c>
      <c r="BL89" s="1634">
        <f>(BL9/160.33)*BL13/12*AER</f>
        <v>0</v>
      </c>
      <c r="BM89" s="1634">
        <f>(BM9/160.33)*BM13/12*AER</f>
        <v>0</v>
      </c>
      <c r="BN89" s="1635">
        <f t="shared" ref="BN89:BX89" si="342">BN$24*BN$13/12*AER</f>
        <v>0</v>
      </c>
      <c r="BO89" s="1635">
        <f t="shared" si="342"/>
        <v>0</v>
      </c>
      <c r="BP89" s="1638">
        <f t="shared" si="342"/>
        <v>0</v>
      </c>
      <c r="BQ89" s="1638">
        <f t="shared" si="342"/>
        <v>0</v>
      </c>
      <c r="BR89" s="1638">
        <f t="shared" si="342"/>
        <v>0</v>
      </c>
      <c r="BS89" s="1638">
        <f t="shared" si="342"/>
        <v>0</v>
      </c>
      <c r="BT89" s="1638">
        <f t="shared" si="342"/>
        <v>0</v>
      </c>
      <c r="BU89" s="1638">
        <f t="shared" si="342"/>
        <v>0</v>
      </c>
      <c r="BV89" s="1638">
        <f t="shared" si="342"/>
        <v>0</v>
      </c>
      <c r="BW89" s="1638">
        <f t="shared" si="342"/>
        <v>0</v>
      </c>
      <c r="BX89" s="1638">
        <f t="shared" si="342"/>
        <v>0</v>
      </c>
      <c r="BY89" s="1634">
        <f>(BY9/160.33)*BY13/12*AER</f>
        <v>0</v>
      </c>
      <c r="BZ89" s="1634">
        <f>(BZ9/160.33)*BZ13/12*AER</f>
        <v>0</v>
      </c>
      <c r="CA89" s="1635">
        <f>CA$24*CA$13/12*AER</f>
        <v>0</v>
      </c>
      <c r="CB89" s="1638">
        <f>CB$24*CB$13/12*AER</f>
        <v>0</v>
      </c>
      <c r="CC89" s="1638">
        <f>CC$24*CC$13/12*AER</f>
        <v>0</v>
      </c>
      <c r="CD89" s="1638">
        <f>CD$24*CD$13/12*AER</f>
        <v>0</v>
      </c>
      <c r="CE89" s="1638">
        <f>CE$24*CE$13/12*AER</f>
        <v>0</v>
      </c>
      <c r="CF89" s="1634">
        <f>(CF9/160.33)*CF13/12*AER</f>
        <v>0</v>
      </c>
      <c r="CG89" s="1634">
        <f>(CG9/160.33)*CG13/12*AER</f>
        <v>0</v>
      </c>
    </row>
    <row r="90" spans="1:88" ht="14" thickBot="1">
      <c r="A90" s="1593"/>
      <c r="B90" s="1583"/>
      <c r="C90" s="1639" t="s">
        <v>347</v>
      </c>
      <c r="D90" s="1640" t="s">
        <v>347</v>
      </c>
      <c r="E90" s="1640"/>
      <c r="F90" s="1640"/>
      <c r="G90" s="1640"/>
      <c r="H90" s="1640"/>
      <c r="I90" s="1640"/>
      <c r="J90" s="1640"/>
      <c r="K90" s="1640"/>
      <c r="L90" s="1640"/>
      <c r="M90" s="1640"/>
      <c r="N90" s="1640"/>
      <c r="O90" s="1640"/>
      <c r="P90" s="1640"/>
      <c r="Q90" s="1640"/>
      <c r="R90" s="1640"/>
      <c r="S90" s="1640"/>
      <c r="T90" s="1640"/>
      <c r="U90" s="1641">
        <f>SUM(C88:U89)</f>
        <v>0</v>
      </c>
      <c r="V90" s="1642" t="s">
        <v>347</v>
      </c>
      <c r="W90" s="1642" t="s">
        <v>347</v>
      </c>
      <c r="X90" s="1642"/>
      <c r="Y90" s="1642"/>
      <c r="Z90" s="1642"/>
      <c r="AA90" s="1642"/>
      <c r="AB90" s="1642"/>
      <c r="AC90" s="1642"/>
      <c r="AD90" s="1642"/>
      <c r="AE90" s="1642"/>
      <c r="AF90" s="1642"/>
      <c r="AG90" s="1642"/>
      <c r="AH90" s="1640"/>
      <c r="AI90" s="1641">
        <f>SUM(V88:AI89)</f>
        <v>0</v>
      </c>
      <c r="AJ90" s="1642" t="s">
        <v>347</v>
      </c>
      <c r="AK90" s="1642" t="s">
        <v>347</v>
      </c>
      <c r="AL90" s="1642"/>
      <c r="AM90" s="1642"/>
      <c r="AN90" s="1642"/>
      <c r="AO90" s="1642"/>
      <c r="AP90" s="1642"/>
      <c r="AQ90" s="1642"/>
      <c r="AR90" s="1642"/>
      <c r="AS90" s="1642"/>
      <c r="AT90" s="1640"/>
      <c r="AU90" s="1641">
        <f>SUM(AJ88:AU89)</f>
        <v>0</v>
      </c>
      <c r="AV90" s="1642" t="s">
        <v>347</v>
      </c>
      <c r="AW90" s="1642" t="s">
        <v>347</v>
      </c>
      <c r="AX90" s="1642"/>
      <c r="AY90" s="1642"/>
      <c r="AZ90" s="1642"/>
      <c r="BA90" s="1642"/>
      <c r="BB90" s="1642"/>
      <c r="BC90" s="1642"/>
      <c r="BD90" s="1642"/>
      <c r="BE90" s="1642"/>
      <c r="BF90" s="1640"/>
      <c r="BG90" s="1641">
        <f>SUM(AV88:BG89)</f>
        <v>0</v>
      </c>
      <c r="BH90" s="1643" t="s">
        <v>347</v>
      </c>
      <c r="BI90" s="1643"/>
      <c r="BJ90" s="1643"/>
      <c r="BK90" s="1643"/>
      <c r="BL90" s="1640"/>
      <c r="BM90" s="1641">
        <f>SUM(BH88:BM89)</f>
        <v>0</v>
      </c>
      <c r="BN90" s="1643" t="s">
        <v>347</v>
      </c>
      <c r="BO90" s="1643" t="s">
        <v>347</v>
      </c>
      <c r="BP90" s="1643"/>
      <c r="BQ90" s="1643"/>
      <c r="BR90" s="1643"/>
      <c r="BS90" s="1643"/>
      <c r="BT90" s="1643"/>
      <c r="BU90" s="1643"/>
      <c r="BV90" s="1643"/>
      <c r="BW90" s="1643"/>
      <c r="BX90" s="1643"/>
      <c r="BY90" s="1640"/>
      <c r="BZ90" s="1641">
        <f>SUM(BN88:BZ89)</f>
        <v>0</v>
      </c>
      <c r="CA90" s="1643" t="s">
        <v>347</v>
      </c>
      <c r="CB90" s="1643"/>
      <c r="CC90" s="1643"/>
      <c r="CD90" s="1643"/>
      <c r="CE90" s="1643"/>
      <c r="CF90" s="1640"/>
      <c r="CG90" s="1641">
        <f>SUM(CA88:CG89)</f>
        <v>0</v>
      </c>
    </row>
    <row r="91" spans="1:88" ht="16">
      <c r="A91" s="1593"/>
      <c r="B91" s="1615" t="str">
        <f>"Lønafhængige omkostninger "&amp;budgetår+1&amp;""</f>
        <v>Lønafhængige omkostninger 2025</v>
      </c>
      <c r="C91" s="1616"/>
      <c r="D91" s="1583"/>
      <c r="E91" s="1583"/>
      <c r="F91" s="1583"/>
      <c r="G91" s="1583"/>
      <c r="H91" s="1583"/>
      <c r="I91" s="1583"/>
      <c r="J91" s="1583"/>
      <c r="K91" s="1583"/>
      <c r="L91" s="1583"/>
      <c r="M91" s="1583"/>
      <c r="N91" s="1583"/>
      <c r="O91" s="1583"/>
      <c r="P91" s="1583"/>
      <c r="Q91" s="1583"/>
      <c r="R91" s="1583"/>
      <c r="S91" s="1583"/>
      <c r="T91" s="1583"/>
      <c r="U91" s="1617"/>
      <c r="V91" s="1583"/>
      <c r="W91" s="1583"/>
      <c r="X91" s="1583"/>
      <c r="Y91" s="1583"/>
      <c r="Z91" s="1583"/>
      <c r="AA91" s="1583"/>
      <c r="AB91" s="1583"/>
      <c r="AC91" s="1583"/>
      <c r="AD91" s="1583"/>
      <c r="AE91" s="1583"/>
      <c r="AF91" s="1583"/>
      <c r="AG91" s="1583"/>
      <c r="AH91" s="1583"/>
      <c r="AI91" s="1617"/>
      <c r="AJ91" s="1618"/>
      <c r="AK91" s="1618"/>
      <c r="AL91" s="1618"/>
      <c r="AM91" s="1618"/>
      <c r="AN91" s="1618"/>
      <c r="AO91" s="1618"/>
      <c r="AP91" s="1618"/>
      <c r="AQ91" s="1618"/>
      <c r="AR91" s="1618"/>
      <c r="AS91" s="1618"/>
      <c r="AT91" s="1618"/>
      <c r="AU91" s="1619"/>
      <c r="AV91" s="1618"/>
      <c r="AW91" s="1618"/>
      <c r="AX91" s="1618"/>
      <c r="AY91" s="1618"/>
      <c r="AZ91" s="1618"/>
      <c r="BA91" s="1618"/>
      <c r="BB91" s="1618"/>
      <c r="BC91" s="1618"/>
      <c r="BD91" s="1618"/>
      <c r="BE91" s="1618"/>
      <c r="BF91" s="1618"/>
      <c r="BG91" s="1619"/>
      <c r="BH91" s="1620"/>
      <c r="BI91" s="1620"/>
      <c r="BJ91" s="1620"/>
      <c r="BK91" s="1620"/>
      <c r="BL91" s="1618"/>
      <c r="BM91" s="1619"/>
      <c r="BN91" s="1620"/>
      <c r="BO91" s="1620"/>
      <c r="BP91" s="1620"/>
      <c r="BQ91" s="1620"/>
      <c r="BR91" s="1620"/>
      <c r="BS91" s="1620"/>
      <c r="BT91" s="1620"/>
      <c r="BU91" s="1620"/>
      <c r="BV91" s="1620"/>
      <c r="BW91" s="1620"/>
      <c r="BX91" s="1620"/>
      <c r="BY91" s="1618"/>
      <c r="BZ91" s="1619"/>
      <c r="CA91" s="1620"/>
      <c r="CB91" s="1620"/>
      <c r="CC91" s="1620"/>
      <c r="CD91" s="1620"/>
      <c r="CE91" s="1620"/>
      <c r="CF91" s="1618"/>
      <c r="CG91" s="1619"/>
    </row>
    <row r="92" spans="1:88">
      <c r="A92" s="1593"/>
      <c r="B92" s="1585" t="str">
        <f>"Flexlønsordning(Kun for skolens ansatte): "&amp;FlexBidr&amp;" kr. pr årsværk"</f>
        <v>Flexlønsordning(Kun for skolens ansatte): 6053,46 kr. pr årsværk</v>
      </c>
      <c r="C92" s="1621">
        <f t="shared" ref="C92:S92" si="343">C$24*C$14/12*FlexBidr*(fremskrivning+1)</f>
        <v>0</v>
      </c>
      <c r="D92" s="1621">
        <f t="shared" si="343"/>
        <v>0</v>
      </c>
      <c r="E92" s="1621">
        <f t="shared" si="343"/>
        <v>0</v>
      </c>
      <c r="F92" s="1621">
        <f t="shared" si="343"/>
        <v>0</v>
      </c>
      <c r="G92" s="1621">
        <f t="shared" si="343"/>
        <v>0</v>
      </c>
      <c r="H92" s="1621">
        <f t="shared" si="343"/>
        <v>0</v>
      </c>
      <c r="I92" s="1621">
        <f t="shared" si="343"/>
        <v>0</v>
      </c>
      <c r="J92" s="1621">
        <f t="shared" si="343"/>
        <v>0</v>
      </c>
      <c r="K92" s="1621">
        <f t="shared" si="343"/>
        <v>0</v>
      </c>
      <c r="L92" s="1621">
        <f t="shared" si="343"/>
        <v>0</v>
      </c>
      <c r="M92" s="1621">
        <f t="shared" si="343"/>
        <v>0</v>
      </c>
      <c r="N92" s="1621">
        <f t="shared" si="343"/>
        <v>0</v>
      </c>
      <c r="O92" s="1621">
        <f t="shared" si="343"/>
        <v>0</v>
      </c>
      <c r="P92" s="1621">
        <f t="shared" si="343"/>
        <v>0</v>
      </c>
      <c r="Q92" s="1621">
        <f t="shared" si="343"/>
        <v>0</v>
      </c>
      <c r="R92" s="1621">
        <f t="shared" si="343"/>
        <v>0</v>
      </c>
      <c r="S92" s="1621">
        <f t="shared" si="343"/>
        <v>0</v>
      </c>
      <c r="T92" s="1623">
        <f>(T9/160.33)*T14/12*FlexBidr*(fremskrivning+1)</f>
        <v>0</v>
      </c>
      <c r="U92" s="1623">
        <f>(U9/160.33)*U14/12*FlexBidr*(fremskrivning+1)</f>
        <v>0</v>
      </c>
      <c r="V92" s="1621">
        <v>0</v>
      </c>
      <c r="W92" s="1621">
        <v>0</v>
      </c>
      <c r="X92" s="1621">
        <v>0</v>
      </c>
      <c r="Y92" s="1621">
        <v>0</v>
      </c>
      <c r="Z92" s="1621">
        <v>0</v>
      </c>
      <c r="AA92" s="1621">
        <v>0</v>
      </c>
      <c r="AB92" s="1621">
        <v>0</v>
      </c>
      <c r="AC92" s="1621">
        <v>0</v>
      </c>
      <c r="AD92" s="1621">
        <v>0</v>
      </c>
      <c r="AE92" s="1621">
        <v>0</v>
      </c>
      <c r="AF92" s="1621">
        <v>0</v>
      </c>
      <c r="AG92" s="1621">
        <v>0</v>
      </c>
      <c r="AH92" s="1621">
        <v>0</v>
      </c>
      <c r="AI92" s="1621">
        <v>0</v>
      </c>
      <c r="AJ92" s="1621">
        <v>0</v>
      </c>
      <c r="AK92" s="1621">
        <f>AJ92</f>
        <v>0</v>
      </c>
      <c r="AL92" s="1621">
        <f t="shared" ref="AL92:AR92" si="344">AK92</f>
        <v>0</v>
      </c>
      <c r="AM92" s="1621">
        <f t="shared" si="344"/>
        <v>0</v>
      </c>
      <c r="AN92" s="1621">
        <f t="shared" si="344"/>
        <v>0</v>
      </c>
      <c r="AO92" s="1621">
        <f t="shared" si="344"/>
        <v>0</v>
      </c>
      <c r="AP92" s="1621">
        <f t="shared" si="344"/>
        <v>0</v>
      </c>
      <c r="AQ92" s="1621">
        <f t="shared" si="344"/>
        <v>0</v>
      </c>
      <c r="AR92" s="1621">
        <f t="shared" si="344"/>
        <v>0</v>
      </c>
      <c r="AS92" s="1621">
        <f>AR92</f>
        <v>0</v>
      </c>
      <c r="AT92" s="1621"/>
      <c r="AU92" s="1621"/>
      <c r="AV92" s="1621">
        <f t="shared" ref="AV92:BE92" si="345">AV$24*AV$14/12*FlexBidr*(fremskrivning+1)</f>
        <v>0</v>
      </c>
      <c r="AW92" s="1621">
        <f t="shared" si="345"/>
        <v>0</v>
      </c>
      <c r="AX92" s="1621">
        <f t="shared" si="345"/>
        <v>0</v>
      </c>
      <c r="AY92" s="1621">
        <f t="shared" si="345"/>
        <v>0</v>
      </c>
      <c r="AZ92" s="1621">
        <f t="shared" si="345"/>
        <v>0</v>
      </c>
      <c r="BA92" s="1621">
        <f t="shared" si="345"/>
        <v>0</v>
      </c>
      <c r="BB92" s="1621">
        <f t="shared" si="345"/>
        <v>0</v>
      </c>
      <c r="BC92" s="1621">
        <f t="shared" si="345"/>
        <v>0</v>
      </c>
      <c r="BD92" s="1621">
        <f t="shared" si="345"/>
        <v>0</v>
      </c>
      <c r="BE92" s="1621">
        <f t="shared" si="345"/>
        <v>0</v>
      </c>
      <c r="BF92" s="1623">
        <f>(BF9/160.33)*BF14/12*FlexBidr*(fremskrivning+1)</f>
        <v>0</v>
      </c>
      <c r="BG92" s="1623">
        <f>(BG9/160.33)*BG14/12*FlexBidr*(fremskrivning+1)</f>
        <v>0</v>
      </c>
      <c r="BH92" s="1621">
        <f>BH$24*BH$14/12*FlexBidr*(fremskrivning+1)</f>
        <v>0</v>
      </c>
      <c r="BI92" s="1621">
        <f>BI$24*BI$14/12*FlexBidr*(fremskrivning+1)</f>
        <v>0</v>
      </c>
      <c r="BJ92" s="1621">
        <f>BJ$24*BJ$14/12*FlexBidr*(fremskrivning+1)</f>
        <v>0</v>
      </c>
      <c r="BK92" s="1621">
        <f>BK$24*BK$14/12*FlexBidr*(fremskrivning+1)</f>
        <v>0</v>
      </c>
      <c r="BL92" s="1623">
        <f>(BL9/160.33)*BL14/12*FlexBidr*(fremskrivning+1)</f>
        <v>0</v>
      </c>
      <c r="BM92" s="1623">
        <f>(BM9/160.33)*BM14/12*FlexBidr*(fremskrivning+1)</f>
        <v>0</v>
      </c>
      <c r="BN92" s="1621">
        <f t="shared" ref="BN92:BX92" si="346">BN$24*BN$14/12*FlexBidr*(fremskrivning+1)</f>
        <v>0</v>
      </c>
      <c r="BO92" s="1621">
        <f t="shared" si="346"/>
        <v>0</v>
      </c>
      <c r="BP92" s="1621">
        <f t="shared" si="346"/>
        <v>0</v>
      </c>
      <c r="BQ92" s="1621">
        <f t="shared" si="346"/>
        <v>0</v>
      </c>
      <c r="BR92" s="1621">
        <f t="shared" si="346"/>
        <v>0</v>
      </c>
      <c r="BS92" s="1621">
        <f t="shared" si="346"/>
        <v>0</v>
      </c>
      <c r="BT92" s="1621">
        <f t="shared" si="346"/>
        <v>0</v>
      </c>
      <c r="BU92" s="1621">
        <f t="shared" si="346"/>
        <v>0</v>
      </c>
      <c r="BV92" s="1621">
        <f t="shared" si="346"/>
        <v>0</v>
      </c>
      <c r="BW92" s="1621">
        <f t="shared" si="346"/>
        <v>0</v>
      </c>
      <c r="BX92" s="1621">
        <f t="shared" si="346"/>
        <v>0</v>
      </c>
      <c r="BY92" s="1623">
        <f>(BY9/160.33)*BY14/12*FlexBidr*(fremskrivning+1)</f>
        <v>0</v>
      </c>
      <c r="BZ92" s="1623">
        <f>(BZ9/160.33)*BZ14/12*FlexBidr*(fremskrivning+1)</f>
        <v>0</v>
      </c>
      <c r="CA92" s="1621">
        <f>CA$24*CA$14/12*FlexBidr*(fremskrivning+1)</f>
        <v>0</v>
      </c>
      <c r="CB92" s="1621">
        <f>CB$24*CB$14/12*FlexBidr*(fremskrivning+1)</f>
        <v>0</v>
      </c>
      <c r="CC92" s="1621">
        <f>CC$24*CC$14/12*FlexBidr*(fremskrivning+1)</f>
        <v>0</v>
      </c>
      <c r="CD92" s="1621">
        <f>CD$24*CD$14/12*FlexBidr*(fremskrivning+1)</f>
        <v>0</v>
      </c>
      <c r="CE92" s="1621">
        <f>CE$24*CE$14/12*FlexBidr*(fremskrivning+1)</f>
        <v>0</v>
      </c>
      <c r="CF92" s="1623">
        <f>(CF9/160.33)*CF14/12*FlexBidr*(fremskrivning+1)</f>
        <v>0</v>
      </c>
      <c r="CG92" s="1623">
        <f>(CG9/160.33)*CG14/12*FlexBidr*(fremskrivning+1)</f>
        <v>0</v>
      </c>
    </row>
    <row r="93" spans="1:88" ht="14" thickBot="1">
      <c r="A93" s="1593"/>
      <c r="B93" s="1631" t="str">
        <f>"Samlet betaling: "&amp;SatsBilag!$B$28&amp;" kr. pr årsværk samt barsel.dk f. Bh."</f>
        <v>Samlet betaling: 4408,145 kr. pr årsværk samt barsel.dk f. Bh.</v>
      </c>
      <c r="C93" s="1632">
        <f t="shared" ref="C93:S93" si="347">C$24*C$14/12*AER*(fremskrivning+1)</f>
        <v>0</v>
      </c>
      <c r="D93" s="1632">
        <f t="shared" si="347"/>
        <v>0</v>
      </c>
      <c r="E93" s="1632">
        <f t="shared" si="347"/>
        <v>0</v>
      </c>
      <c r="F93" s="1632">
        <f t="shared" si="347"/>
        <v>0</v>
      </c>
      <c r="G93" s="1632">
        <f t="shared" si="347"/>
        <v>0</v>
      </c>
      <c r="H93" s="1632">
        <f t="shared" si="347"/>
        <v>0</v>
      </c>
      <c r="I93" s="1632">
        <f t="shared" si="347"/>
        <v>0</v>
      </c>
      <c r="J93" s="1632">
        <f t="shared" si="347"/>
        <v>0</v>
      </c>
      <c r="K93" s="1632">
        <f t="shared" si="347"/>
        <v>0</v>
      </c>
      <c r="L93" s="1632">
        <f t="shared" si="347"/>
        <v>0</v>
      </c>
      <c r="M93" s="1632">
        <f t="shared" si="347"/>
        <v>0</v>
      </c>
      <c r="N93" s="1632">
        <f t="shared" si="347"/>
        <v>0</v>
      </c>
      <c r="O93" s="1632">
        <f t="shared" si="347"/>
        <v>0</v>
      </c>
      <c r="P93" s="1632">
        <f t="shared" si="347"/>
        <v>0</v>
      </c>
      <c r="Q93" s="1632">
        <f t="shared" si="347"/>
        <v>0</v>
      </c>
      <c r="R93" s="1632">
        <f t="shared" si="347"/>
        <v>0</v>
      </c>
      <c r="S93" s="1632">
        <f t="shared" si="347"/>
        <v>0</v>
      </c>
      <c r="T93" s="1634">
        <f>(T9/160.33)*T14/12*AER*(fremskrivning+1)</f>
        <v>0</v>
      </c>
      <c r="U93" s="1634">
        <f>(U9/160.33)*U14/12*AER*(fremskrivning+1)</f>
        <v>0</v>
      </c>
      <c r="V93" s="1635">
        <f t="shared" ref="V93:AG93" si="348">(AER+BarselBidr)*V$24*V$14/12*(fremskrivning+1)</f>
        <v>0</v>
      </c>
      <c r="W93" s="1635">
        <f t="shared" si="348"/>
        <v>0</v>
      </c>
      <c r="X93" s="1635">
        <f t="shared" si="348"/>
        <v>0</v>
      </c>
      <c r="Y93" s="1635">
        <f t="shared" si="348"/>
        <v>0</v>
      </c>
      <c r="Z93" s="1635">
        <f t="shared" si="348"/>
        <v>0</v>
      </c>
      <c r="AA93" s="1635">
        <f t="shared" si="348"/>
        <v>0</v>
      </c>
      <c r="AB93" s="1635">
        <f t="shared" si="348"/>
        <v>0</v>
      </c>
      <c r="AC93" s="1635">
        <f t="shared" si="348"/>
        <v>0</v>
      </c>
      <c r="AD93" s="1635">
        <f t="shared" si="348"/>
        <v>0</v>
      </c>
      <c r="AE93" s="1635">
        <f t="shared" si="348"/>
        <v>0</v>
      </c>
      <c r="AF93" s="1635">
        <f t="shared" si="348"/>
        <v>0</v>
      </c>
      <c r="AG93" s="1635">
        <f t="shared" si="348"/>
        <v>0</v>
      </c>
      <c r="AH93" s="1634">
        <f>(AH9/160.33)*AH14/12*AER*(fremskrivning+1)</f>
        <v>0</v>
      </c>
      <c r="AI93" s="1634">
        <f>(AI9/160.33)*AI14/12*AER*(fremskrivning+1)</f>
        <v>0</v>
      </c>
      <c r="AJ93" s="1635">
        <f t="shared" ref="AJ93:AS93" si="349">(AER+BarselBidr)*AJ$24*AJ$14/12*(fremskrivning+1)</f>
        <v>0</v>
      </c>
      <c r="AK93" s="1635">
        <f t="shared" si="349"/>
        <v>0</v>
      </c>
      <c r="AL93" s="1635">
        <f t="shared" si="349"/>
        <v>0</v>
      </c>
      <c r="AM93" s="1635">
        <f t="shared" si="349"/>
        <v>0</v>
      </c>
      <c r="AN93" s="1635">
        <f t="shared" si="349"/>
        <v>0</v>
      </c>
      <c r="AO93" s="1635">
        <f t="shared" si="349"/>
        <v>0</v>
      </c>
      <c r="AP93" s="1635">
        <f t="shared" si="349"/>
        <v>0</v>
      </c>
      <c r="AQ93" s="1635">
        <f t="shared" si="349"/>
        <v>0</v>
      </c>
      <c r="AR93" s="1635">
        <f t="shared" si="349"/>
        <v>0</v>
      </c>
      <c r="AS93" s="1635">
        <f t="shared" si="349"/>
        <v>0</v>
      </c>
      <c r="AT93" s="1634">
        <f>(AT9/160.33)*AT14/12*AER*(fremskrivning+1)</f>
        <v>0</v>
      </c>
      <c r="AU93" s="1634">
        <f>(AU9/160.33)*AU14/12*AER*(fremskrivning+1)</f>
        <v>0</v>
      </c>
      <c r="AV93" s="1632">
        <f t="shared" ref="AV93:BE93" si="350">AV$24*AV$14/12*AER*(fremskrivning+1)</f>
        <v>0</v>
      </c>
      <c r="AW93" s="1632">
        <f t="shared" si="350"/>
        <v>0</v>
      </c>
      <c r="AX93" s="1632">
        <f t="shared" si="350"/>
        <v>0</v>
      </c>
      <c r="AY93" s="1632">
        <f t="shared" si="350"/>
        <v>0</v>
      </c>
      <c r="AZ93" s="1632">
        <f t="shared" si="350"/>
        <v>0</v>
      </c>
      <c r="BA93" s="1632">
        <f t="shared" si="350"/>
        <v>0</v>
      </c>
      <c r="BB93" s="1632">
        <f t="shared" si="350"/>
        <v>0</v>
      </c>
      <c r="BC93" s="1632">
        <f t="shared" si="350"/>
        <v>0</v>
      </c>
      <c r="BD93" s="1632">
        <f t="shared" si="350"/>
        <v>0</v>
      </c>
      <c r="BE93" s="1632">
        <f t="shared" si="350"/>
        <v>0</v>
      </c>
      <c r="BF93" s="1634">
        <f>(BF9/160.33)*BF14/12*AER*(fremskrivning+1)</f>
        <v>0</v>
      </c>
      <c r="BG93" s="1634">
        <f>(BG9/160.33)*BG14/12*AER*(fremskrivning+1)</f>
        <v>0</v>
      </c>
      <c r="BH93" s="1632">
        <f>BH$24*BH$14/12*AER*(fremskrivning+1)</f>
        <v>0</v>
      </c>
      <c r="BI93" s="1632">
        <f>BI$24*BI$14/12*AER*(fremskrivning+1)</f>
        <v>0</v>
      </c>
      <c r="BJ93" s="1632">
        <f>BJ$24*BJ$14/12*AER*(fremskrivning+1)</f>
        <v>0</v>
      </c>
      <c r="BK93" s="1632">
        <f>BK$24*BK$14/12*AER*(fremskrivning+1)</f>
        <v>0</v>
      </c>
      <c r="BL93" s="1634">
        <f>(BL9/160.33)*BL14/12*AER*(fremskrivning+1)</f>
        <v>0</v>
      </c>
      <c r="BM93" s="1634">
        <f>(BM9/160.33)*BM14/12*AER*(fremskrivning+1)</f>
        <v>0</v>
      </c>
      <c r="BN93" s="1632">
        <f t="shared" ref="BN93:BX93" si="351">BN$24*BN$14/12*AER*(fremskrivning+1)</f>
        <v>0</v>
      </c>
      <c r="BO93" s="1632">
        <f t="shared" si="351"/>
        <v>0</v>
      </c>
      <c r="BP93" s="1632">
        <f t="shared" si="351"/>
        <v>0</v>
      </c>
      <c r="BQ93" s="1632">
        <f t="shared" si="351"/>
        <v>0</v>
      </c>
      <c r="BR93" s="1632">
        <f t="shared" si="351"/>
        <v>0</v>
      </c>
      <c r="BS93" s="1632">
        <f t="shared" si="351"/>
        <v>0</v>
      </c>
      <c r="BT93" s="1632">
        <f t="shared" si="351"/>
        <v>0</v>
      </c>
      <c r="BU93" s="1632">
        <f t="shared" si="351"/>
        <v>0</v>
      </c>
      <c r="BV93" s="1632">
        <f t="shared" si="351"/>
        <v>0</v>
      </c>
      <c r="BW93" s="1632">
        <f t="shared" si="351"/>
        <v>0</v>
      </c>
      <c r="BX93" s="1632">
        <f t="shared" si="351"/>
        <v>0</v>
      </c>
      <c r="BY93" s="1634">
        <f>(BY9/160.33)*BY14/12*AER*(fremskrivning+1)</f>
        <v>0</v>
      </c>
      <c r="BZ93" s="1634">
        <f>(BZ9/160.33)*BZ14/12*AER*(fremskrivning+1)</f>
        <v>0</v>
      </c>
      <c r="CA93" s="1632">
        <f>CA$24*CA$14/12*AER*(fremskrivning+1)</f>
        <v>0</v>
      </c>
      <c r="CB93" s="1632">
        <f>CB$24*CB$14/12*AER*(fremskrivning+1)</f>
        <v>0</v>
      </c>
      <c r="CC93" s="1632">
        <f>CC$24*CC$14/12*AER*(fremskrivning+1)</f>
        <v>0</v>
      </c>
      <c r="CD93" s="1632">
        <f>CD$24*CD$14/12*AER*(fremskrivning+1)</f>
        <v>0</v>
      </c>
      <c r="CE93" s="1632">
        <f>CE$24*CE$14/12*AER*(fremskrivning+1)</f>
        <v>0</v>
      </c>
      <c r="CF93" s="1634">
        <f>(CF9/160.33)*CF14/12*AER*(fremskrivning+1)</f>
        <v>0</v>
      </c>
      <c r="CG93" s="1634">
        <f>(CG9/160.33)*CG14/12*AER*(fremskrivning+1)</f>
        <v>0</v>
      </c>
    </row>
    <row r="94" spans="1:88" ht="14" thickBot="1">
      <c r="A94" s="1593"/>
      <c r="B94" s="1583"/>
      <c r="C94" s="1639" t="s">
        <v>347</v>
      </c>
      <c r="D94" s="1640" t="s">
        <v>347</v>
      </c>
      <c r="E94" s="1640"/>
      <c r="F94" s="1640"/>
      <c r="G94" s="1640"/>
      <c r="H94" s="1640"/>
      <c r="I94" s="1640"/>
      <c r="J94" s="1640"/>
      <c r="K94" s="1640"/>
      <c r="L94" s="1640"/>
      <c r="M94" s="1640"/>
      <c r="N94" s="1640"/>
      <c r="O94" s="1640"/>
      <c r="P94" s="1640"/>
      <c r="Q94" s="1640"/>
      <c r="R94" s="1640"/>
      <c r="S94" s="1640"/>
      <c r="T94" s="1640"/>
      <c r="U94" s="1641">
        <f>SUM(C92:U93)</f>
        <v>0</v>
      </c>
      <c r="V94" s="1642" t="s">
        <v>347</v>
      </c>
      <c r="W94" s="1642" t="s">
        <v>347</v>
      </c>
      <c r="X94" s="1642"/>
      <c r="Y94" s="1642"/>
      <c r="Z94" s="1642"/>
      <c r="AA94" s="1642"/>
      <c r="AB94" s="1642"/>
      <c r="AC94" s="1642"/>
      <c r="AD94" s="1642"/>
      <c r="AE94" s="1642"/>
      <c r="AF94" s="1642"/>
      <c r="AG94" s="1642"/>
      <c r="AH94" s="1640"/>
      <c r="AI94" s="1641">
        <f>SUM(V92:AI93)</f>
        <v>0</v>
      </c>
      <c r="AJ94" s="1642" t="s">
        <v>347</v>
      </c>
      <c r="AK94" s="1642" t="s">
        <v>347</v>
      </c>
      <c r="AL94" s="1642"/>
      <c r="AM94" s="1642"/>
      <c r="AN94" s="1642"/>
      <c r="AO94" s="1642"/>
      <c r="AP94" s="1642"/>
      <c r="AQ94" s="1642"/>
      <c r="AR94" s="1642"/>
      <c r="AS94" s="1642"/>
      <c r="AT94" s="1640"/>
      <c r="AU94" s="1641">
        <f>SUM(AJ92:AU93)</f>
        <v>0</v>
      </c>
      <c r="AV94" s="1642" t="s">
        <v>347</v>
      </c>
      <c r="AW94" s="1642" t="s">
        <v>347</v>
      </c>
      <c r="AX94" s="1642"/>
      <c r="AY94" s="1642"/>
      <c r="AZ94" s="1642"/>
      <c r="BA94" s="1642"/>
      <c r="BB94" s="1642"/>
      <c r="BC94" s="1642"/>
      <c r="BD94" s="1642"/>
      <c r="BE94" s="1642"/>
      <c r="BF94" s="1640"/>
      <c r="BG94" s="1641">
        <f>SUM(AV92:BG93)</f>
        <v>0</v>
      </c>
      <c r="BH94" s="1643" t="s">
        <v>347</v>
      </c>
      <c r="BI94" s="1643"/>
      <c r="BJ94" s="1643"/>
      <c r="BK94" s="1643"/>
      <c r="BL94" s="1640"/>
      <c r="BM94" s="1641">
        <f>SUM(BH92:BM93)</f>
        <v>0</v>
      </c>
      <c r="BN94" s="1643" t="s">
        <v>347</v>
      </c>
      <c r="BO94" s="1643" t="s">
        <v>347</v>
      </c>
      <c r="BP94" s="1643"/>
      <c r="BQ94" s="1643"/>
      <c r="BR94" s="1643"/>
      <c r="BS94" s="1643"/>
      <c r="BT94" s="1643"/>
      <c r="BU94" s="1643"/>
      <c r="BV94" s="1643"/>
      <c r="BW94" s="1643"/>
      <c r="BX94" s="1643"/>
      <c r="BY94" s="1640"/>
      <c r="BZ94" s="1641">
        <f>SUM(BN92:BZ93)</f>
        <v>0</v>
      </c>
      <c r="CA94" s="1643" t="s">
        <v>347</v>
      </c>
      <c r="CB94" s="1643"/>
      <c r="CC94" s="1643"/>
      <c r="CD94" s="1643"/>
      <c r="CE94" s="1643"/>
      <c r="CF94" s="1640"/>
      <c r="CG94" s="1641">
        <f>SUM(CA92:CG93)</f>
        <v>0</v>
      </c>
    </row>
    <row r="95" spans="1:88">
      <c r="A95" s="1599"/>
      <c r="B95" s="1644"/>
      <c r="C95" s="1645"/>
      <c r="D95" s="1644"/>
      <c r="E95" s="1644"/>
      <c r="F95" s="1644"/>
      <c r="G95" s="1644"/>
      <c r="H95" s="1644"/>
      <c r="I95" s="1644"/>
      <c r="J95" s="1644"/>
      <c r="K95" s="1644"/>
      <c r="L95" s="1644"/>
      <c r="M95" s="1644"/>
      <c r="N95" s="1644"/>
      <c r="O95" s="1644"/>
      <c r="P95" s="1644"/>
      <c r="Q95" s="1644"/>
      <c r="R95" s="1644"/>
      <c r="S95" s="1644"/>
      <c r="T95" s="1644"/>
      <c r="U95" s="1646"/>
      <c r="V95" s="1644"/>
      <c r="W95" s="1644"/>
      <c r="X95" s="1644"/>
      <c r="Y95" s="1644"/>
      <c r="Z95" s="1644"/>
      <c r="AA95" s="1644"/>
      <c r="AB95" s="1644"/>
      <c r="AC95" s="1644"/>
      <c r="AD95" s="1644"/>
      <c r="AE95" s="1644"/>
      <c r="AF95" s="1644"/>
      <c r="AG95" s="1644"/>
      <c r="AH95" s="1644"/>
      <c r="AI95" s="1646"/>
      <c r="AJ95" s="1644"/>
      <c r="AK95" s="1644"/>
      <c r="AL95" s="1644"/>
      <c r="AM95" s="1644"/>
      <c r="AN95" s="1644"/>
      <c r="AO95" s="1644"/>
      <c r="AP95" s="1644"/>
      <c r="AQ95" s="1644"/>
      <c r="AR95" s="1644"/>
      <c r="AS95" s="1644"/>
      <c r="AT95" s="1644"/>
      <c r="AU95" s="1646"/>
      <c r="AV95" s="1644"/>
      <c r="AW95" s="1644"/>
      <c r="AX95" s="1644"/>
      <c r="AY95" s="1644"/>
      <c r="AZ95" s="1644"/>
      <c r="BA95" s="1644"/>
      <c r="BB95" s="1644"/>
      <c r="BC95" s="1644"/>
      <c r="BD95" s="1644"/>
      <c r="BE95" s="1644"/>
      <c r="BF95" s="1644"/>
      <c r="BG95" s="1646"/>
      <c r="BH95" s="1647"/>
      <c r="BI95" s="1647"/>
      <c r="BJ95" s="1647"/>
      <c r="BK95" s="1647"/>
      <c r="BL95" s="1644"/>
      <c r="BM95" s="1646"/>
      <c r="BN95" s="1647"/>
      <c r="BO95" s="1647"/>
      <c r="BP95" s="1647"/>
      <c r="BQ95" s="1647"/>
      <c r="BR95" s="1647"/>
      <c r="BS95" s="1647"/>
      <c r="BT95" s="1647"/>
      <c r="BU95" s="1647"/>
      <c r="BV95" s="1647"/>
      <c r="BW95" s="1647"/>
      <c r="BX95" s="1647"/>
      <c r="BY95" s="1644"/>
      <c r="BZ95" s="1646"/>
      <c r="CA95" s="1647"/>
      <c r="CB95" s="1647"/>
      <c r="CC95" s="1647"/>
      <c r="CD95" s="1647"/>
      <c r="CE95" s="1647"/>
      <c r="CF95" s="1644"/>
      <c r="CG95" s="1646"/>
    </row>
    <row r="96" spans="1:88">
      <c r="A96" s="1586"/>
      <c r="B96" s="1411"/>
      <c r="C96" s="1411"/>
      <c r="D96" s="1411"/>
      <c r="E96" s="1411"/>
      <c r="F96" s="1411"/>
      <c r="G96" s="1411"/>
      <c r="H96" s="1411"/>
      <c r="I96" s="1411"/>
      <c r="J96" s="1411"/>
      <c r="K96" s="1411"/>
      <c r="L96" s="1411"/>
      <c r="M96" s="1411"/>
      <c r="N96" s="1411"/>
      <c r="O96" s="1411"/>
      <c r="P96" s="1411"/>
      <c r="Q96" s="1411"/>
      <c r="R96" s="1411"/>
      <c r="S96" s="1411"/>
      <c r="T96" s="1411"/>
      <c r="U96" s="1411"/>
      <c r="V96" s="1411"/>
      <c r="W96" s="1411"/>
      <c r="X96" s="1411"/>
      <c r="Y96" s="1411"/>
      <c r="Z96" s="1411"/>
      <c r="AA96" s="1411"/>
      <c r="AB96" s="1411"/>
      <c r="AC96" s="1411"/>
      <c r="AD96" s="1411"/>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1"/>
      <c r="BD96" s="1411"/>
      <c r="BE96" s="1411"/>
      <c r="BF96" s="1411"/>
      <c r="BG96" s="1411"/>
      <c r="BH96" s="1411"/>
      <c r="BI96" s="1411"/>
      <c r="BJ96" s="1411"/>
      <c r="BK96" s="1411"/>
      <c r="BL96" s="1411"/>
      <c r="BM96" s="1411"/>
      <c r="BN96" s="1411"/>
      <c r="BO96" s="1411"/>
      <c r="BP96" s="1411"/>
      <c r="BQ96" s="1411"/>
      <c r="BR96" s="1411"/>
      <c r="BS96" s="1411"/>
      <c r="BT96" s="1411"/>
      <c r="BU96" s="1411"/>
      <c r="BV96" s="1411"/>
      <c r="BW96" s="1411"/>
      <c r="BX96" s="1411"/>
      <c r="BY96" s="1411"/>
      <c r="BZ96" s="1411"/>
      <c r="CA96" s="1411"/>
      <c r="CB96" s="1411"/>
      <c r="CC96" s="1411"/>
      <c r="CD96" s="1411"/>
      <c r="CE96" s="1411"/>
      <c r="CF96" s="1411"/>
      <c r="CG96" s="1411"/>
    </row>
    <row r="97" spans="1:85">
      <c r="A97" s="1586"/>
      <c r="B97" s="1411" t="s">
        <v>1213</v>
      </c>
      <c r="C97" s="1411"/>
      <c r="D97" s="1411"/>
      <c r="E97" s="1411">
        <f t="shared" ref="E97:S97" si="352">IF(E16="Orlov",0,E27*E13)</f>
        <v>0</v>
      </c>
      <c r="F97" s="1411">
        <f t="shared" si="352"/>
        <v>0</v>
      </c>
      <c r="G97" s="1411">
        <f t="shared" si="352"/>
        <v>0</v>
      </c>
      <c r="H97" s="1411">
        <f t="shared" si="352"/>
        <v>0</v>
      </c>
      <c r="I97" s="1411">
        <f t="shared" si="352"/>
        <v>0</v>
      </c>
      <c r="J97" s="1411">
        <f t="shared" si="352"/>
        <v>0</v>
      </c>
      <c r="K97" s="1411">
        <f t="shared" si="352"/>
        <v>0</v>
      </c>
      <c r="L97" s="1411">
        <f t="shared" si="352"/>
        <v>0</v>
      </c>
      <c r="M97" s="1411">
        <f t="shared" si="352"/>
        <v>0</v>
      </c>
      <c r="N97" s="1411">
        <f t="shared" si="352"/>
        <v>0</v>
      </c>
      <c r="O97" s="1411">
        <f t="shared" si="352"/>
        <v>0</v>
      </c>
      <c r="P97" s="1411">
        <f t="shared" si="352"/>
        <v>0</v>
      </c>
      <c r="Q97" s="1411">
        <f t="shared" si="352"/>
        <v>0</v>
      </c>
      <c r="R97" s="1411">
        <f t="shared" si="352"/>
        <v>0</v>
      </c>
      <c r="S97" s="1411">
        <f t="shared" si="352"/>
        <v>0</v>
      </c>
      <c r="T97" s="1411"/>
      <c r="U97" s="1411"/>
      <c r="V97" s="1411"/>
      <c r="W97" s="1411"/>
      <c r="X97" s="1411">
        <f t="shared" ref="X97:AG97" si="353">IF(X16="Orlov",0,X27*X13)</f>
        <v>0</v>
      </c>
      <c r="Y97" s="1411">
        <f t="shared" si="353"/>
        <v>0</v>
      </c>
      <c r="Z97" s="1411">
        <f t="shared" si="353"/>
        <v>0</v>
      </c>
      <c r="AA97" s="1411">
        <f t="shared" si="353"/>
        <v>0</v>
      </c>
      <c r="AB97" s="1411">
        <f t="shared" si="353"/>
        <v>0</v>
      </c>
      <c r="AC97" s="1411">
        <f t="shared" si="353"/>
        <v>0</v>
      </c>
      <c r="AD97" s="1411">
        <f t="shared" si="353"/>
        <v>0</v>
      </c>
      <c r="AE97" s="1411">
        <f t="shared" si="353"/>
        <v>0</v>
      </c>
      <c r="AF97" s="1411">
        <f t="shared" si="353"/>
        <v>0</v>
      </c>
      <c r="AG97" s="1411">
        <f t="shared" si="353"/>
        <v>0</v>
      </c>
      <c r="AH97" s="1411"/>
      <c r="AI97" s="1411"/>
      <c r="AJ97" s="1411">
        <f t="shared" ref="AJ97:AS97" si="354">IF(AJ16="Orlov",0,AJ27*AJ13)</f>
        <v>0</v>
      </c>
      <c r="AK97" s="1411">
        <f t="shared" si="354"/>
        <v>0</v>
      </c>
      <c r="AL97" s="1411">
        <f t="shared" si="354"/>
        <v>0</v>
      </c>
      <c r="AM97" s="1411">
        <f t="shared" si="354"/>
        <v>0</v>
      </c>
      <c r="AN97" s="1411">
        <f t="shared" si="354"/>
        <v>0</v>
      </c>
      <c r="AO97" s="1411">
        <f t="shared" si="354"/>
        <v>0</v>
      </c>
      <c r="AP97" s="1411">
        <f t="shared" si="354"/>
        <v>0</v>
      </c>
      <c r="AQ97" s="1411">
        <f t="shared" si="354"/>
        <v>0</v>
      </c>
      <c r="AR97" s="1411">
        <f t="shared" si="354"/>
        <v>0</v>
      </c>
      <c r="AS97" s="1411">
        <f t="shared" si="354"/>
        <v>0</v>
      </c>
      <c r="AT97" s="1411"/>
      <c r="AU97" s="1411"/>
      <c r="AV97" s="1411">
        <f t="shared" ref="AV97:BE97" si="355">IF(AV16="Orlov",0,AV27*AV13)</f>
        <v>0</v>
      </c>
      <c r="AW97" s="1411">
        <f t="shared" si="355"/>
        <v>0</v>
      </c>
      <c r="AX97" s="1411">
        <f t="shared" si="355"/>
        <v>0</v>
      </c>
      <c r="AY97" s="1411">
        <f t="shared" si="355"/>
        <v>0</v>
      </c>
      <c r="AZ97" s="1411">
        <f t="shared" si="355"/>
        <v>0</v>
      </c>
      <c r="BA97" s="1411">
        <f t="shared" si="355"/>
        <v>0</v>
      </c>
      <c r="BB97" s="1411">
        <f t="shared" si="355"/>
        <v>0</v>
      </c>
      <c r="BC97" s="1411">
        <f t="shared" si="355"/>
        <v>0</v>
      </c>
      <c r="BD97" s="1411">
        <f t="shared" si="355"/>
        <v>0</v>
      </c>
      <c r="BE97" s="1411">
        <f t="shared" si="355"/>
        <v>0</v>
      </c>
      <c r="BF97" s="1411"/>
      <c r="BG97" s="1411"/>
      <c r="BH97" s="1411">
        <f>IF(BH16="Orlov",0,BH27*BH13)</f>
        <v>0</v>
      </c>
      <c r="BI97" s="1411">
        <f>IF(BI16="Orlov",0,BI27*BI13)</f>
        <v>0</v>
      </c>
      <c r="BJ97" s="1411">
        <f>IF(BJ16="Orlov",0,BJ27*BJ13)</f>
        <v>0</v>
      </c>
      <c r="BK97" s="1411">
        <f>IF(BK16="Orlov",0,BK27*BK13)</f>
        <v>0</v>
      </c>
      <c r="BL97" s="1411"/>
      <c r="BM97" s="1411"/>
      <c r="BN97" s="1411">
        <f t="shared" ref="BN97:BX97" si="356">IF(BN16="Orlov",0,BN27*BN13)</f>
        <v>0</v>
      </c>
      <c r="BO97" s="1411">
        <f t="shared" si="356"/>
        <v>0</v>
      </c>
      <c r="BP97" s="1411">
        <f t="shared" si="356"/>
        <v>0</v>
      </c>
      <c r="BQ97" s="1411">
        <f t="shared" si="356"/>
        <v>0</v>
      </c>
      <c r="BR97" s="1411">
        <f t="shared" si="356"/>
        <v>0</v>
      </c>
      <c r="BS97" s="1411">
        <f t="shared" si="356"/>
        <v>0</v>
      </c>
      <c r="BT97" s="1411">
        <f t="shared" si="356"/>
        <v>0</v>
      </c>
      <c r="BU97" s="1411">
        <f t="shared" si="356"/>
        <v>0</v>
      </c>
      <c r="BV97" s="1411">
        <f t="shared" si="356"/>
        <v>0</v>
      </c>
      <c r="BW97" s="1411">
        <f t="shared" si="356"/>
        <v>0</v>
      </c>
      <c r="BX97" s="1411">
        <f t="shared" si="356"/>
        <v>0</v>
      </c>
      <c r="BY97" s="1411"/>
      <c r="BZ97" s="1411"/>
      <c r="CA97" s="1411">
        <f>IF(CA16="Orlov",0,CA27*CA13)</f>
        <v>0</v>
      </c>
      <c r="CB97" s="1411">
        <f>IF(CB16="Orlov",0,CB27*CB13)</f>
        <v>0</v>
      </c>
      <c r="CC97" s="1411">
        <f>IF(CC16="Orlov",0,CC27*CC13)</f>
        <v>0</v>
      </c>
      <c r="CD97" s="1411">
        <f>IF(CD16="Orlov",0,CD27*CD13)</f>
        <v>0</v>
      </c>
      <c r="CE97" s="1411">
        <f>IF(CE16="Orlov",0,CE27*CE13)</f>
        <v>0</v>
      </c>
      <c r="CF97" s="1411"/>
      <c r="CG97" s="1411"/>
    </row>
    <row r="98" spans="1:85">
      <c r="A98" s="1586"/>
      <c r="B98" s="1411" t="s">
        <v>1214</v>
      </c>
      <c r="C98" s="1411">
        <f>IF(C16="orlov",0,C27*C13)</f>
        <v>0</v>
      </c>
      <c r="D98" s="1411">
        <f>IF(D16="orlov",0,D27*D13)</f>
        <v>0</v>
      </c>
      <c r="E98" s="1411"/>
      <c r="F98" s="1411"/>
      <c r="G98" s="1411"/>
      <c r="H98" s="1411"/>
      <c r="I98" s="1411"/>
      <c r="J98" s="1411"/>
      <c r="K98" s="1411"/>
      <c r="L98" s="1411"/>
      <c r="M98" s="1411"/>
      <c r="N98" s="1411"/>
      <c r="O98" s="1411"/>
      <c r="P98" s="1411"/>
      <c r="Q98" s="1411"/>
      <c r="R98" s="1411"/>
      <c r="S98" s="1411"/>
      <c r="T98" s="1411"/>
      <c r="U98" s="1411"/>
      <c r="V98" s="1411">
        <f>IF(V16="orlov",0,V27*V13)</f>
        <v>0</v>
      </c>
      <c r="W98" s="1411">
        <f>IF(W16="orlov",0,W27*W13)</f>
        <v>0</v>
      </c>
      <c r="X98" s="1411"/>
      <c r="Y98" s="1411"/>
      <c r="Z98" s="1411"/>
      <c r="AA98" s="1411"/>
      <c r="AB98" s="1411"/>
      <c r="AC98" s="1411"/>
      <c r="AD98" s="1411"/>
      <c r="AE98" s="1411"/>
      <c r="AF98" s="1411"/>
      <c r="AG98" s="1411"/>
      <c r="AH98" s="1411"/>
      <c r="AI98" s="1411"/>
      <c r="AJ98" s="1411"/>
      <c r="AK98" s="1411"/>
      <c r="AL98" s="1411"/>
      <c r="AM98" s="1411"/>
      <c r="AN98" s="1411"/>
      <c r="AO98" s="1411"/>
      <c r="AP98" s="1411"/>
      <c r="AQ98" s="1411"/>
      <c r="AR98" s="1411"/>
      <c r="AS98" s="1411"/>
      <c r="AT98" s="1411"/>
      <c r="AU98" s="1411"/>
      <c r="AV98" s="1411"/>
      <c r="AW98" s="1411"/>
      <c r="AX98" s="1411"/>
      <c r="AY98" s="1411"/>
      <c r="AZ98" s="1411"/>
      <c r="BA98" s="1411"/>
      <c r="BB98" s="1411"/>
      <c r="BC98" s="1411"/>
      <c r="BD98" s="1411"/>
      <c r="BE98" s="1411"/>
      <c r="BF98" s="1411"/>
      <c r="BG98" s="1411"/>
      <c r="BH98" s="1411"/>
      <c r="BI98" s="1411"/>
      <c r="BJ98" s="1411"/>
      <c r="BK98" s="1411"/>
      <c r="BL98" s="1411"/>
      <c r="BM98" s="1411"/>
      <c r="BN98" s="1411"/>
      <c r="BO98" s="1411"/>
      <c r="BP98" s="1411"/>
      <c r="BQ98" s="1411"/>
      <c r="BR98" s="1411"/>
      <c r="BS98" s="1411"/>
      <c r="BT98" s="1411"/>
      <c r="BU98" s="1411"/>
      <c r="BV98" s="1411"/>
      <c r="BW98" s="1411"/>
      <c r="BX98" s="1411"/>
      <c r="BY98" s="1411"/>
      <c r="BZ98" s="1411"/>
      <c r="CA98" s="1411"/>
      <c r="CB98" s="1411"/>
      <c r="CC98" s="1411"/>
      <c r="CD98" s="1411"/>
      <c r="CE98" s="1411"/>
      <c r="CF98" s="1411"/>
      <c r="CG98" s="1411"/>
    </row>
    <row r="99" spans="1:85">
      <c r="A99" s="1586"/>
      <c r="B99" s="1411" t="s">
        <v>1186</v>
      </c>
      <c r="C99" s="1411"/>
      <c r="D99" s="1411"/>
      <c r="E99" s="1411"/>
      <c r="F99" s="1411"/>
      <c r="G99" s="1411"/>
      <c r="H99" s="1411"/>
      <c r="I99" s="1411"/>
      <c r="J99" s="1411"/>
      <c r="K99" s="1411"/>
      <c r="L99" s="1411"/>
      <c r="M99" s="1411"/>
      <c r="N99" s="1411"/>
      <c r="O99" s="1411"/>
      <c r="P99" s="1411"/>
      <c r="Q99" s="1411"/>
      <c r="R99" s="1411"/>
      <c r="S99" s="1411"/>
      <c r="T99" s="1411">
        <f>T26*T13</f>
        <v>0</v>
      </c>
      <c r="U99" s="1411">
        <f>U26*U13</f>
        <v>0</v>
      </c>
      <c r="V99" s="1411"/>
      <c r="W99" s="1411"/>
      <c r="X99" s="1411"/>
      <c r="Y99" s="1411"/>
      <c r="Z99" s="1411"/>
      <c r="AA99" s="1411"/>
      <c r="AB99" s="1411"/>
      <c r="AC99" s="1411"/>
      <c r="AD99" s="1411"/>
      <c r="AE99" s="1411"/>
      <c r="AF99" s="1411"/>
      <c r="AG99" s="1411"/>
      <c r="AH99" s="1411">
        <f>AH26*AH13</f>
        <v>0</v>
      </c>
      <c r="AI99" s="1411">
        <f>AI26*AI13</f>
        <v>0</v>
      </c>
      <c r="AJ99" s="1411"/>
      <c r="AK99" s="1411"/>
      <c r="AL99" s="1411"/>
      <c r="AM99" s="1411"/>
      <c r="AN99" s="1411"/>
      <c r="AO99" s="1411"/>
      <c r="AP99" s="1411"/>
      <c r="AQ99" s="1411"/>
      <c r="AR99" s="1411"/>
      <c r="AS99" s="1411"/>
      <c r="AT99" s="1411">
        <f>AT26*AT13</f>
        <v>0</v>
      </c>
      <c r="AU99" s="1411">
        <f>AU26*AU13</f>
        <v>0</v>
      </c>
      <c r="AV99" s="1411"/>
      <c r="AW99" s="1411"/>
      <c r="AX99" s="1411"/>
      <c r="AY99" s="1411"/>
      <c r="AZ99" s="1411"/>
      <c r="BA99" s="1411"/>
      <c r="BB99" s="1411"/>
      <c r="BC99" s="1411"/>
      <c r="BD99" s="1411"/>
      <c r="BE99" s="1411"/>
      <c r="BF99" s="1411">
        <f>BF26*BF13</f>
        <v>0</v>
      </c>
      <c r="BG99" s="1411">
        <f>BG26*BG13</f>
        <v>0</v>
      </c>
      <c r="BH99" s="1411"/>
      <c r="BI99" s="1411"/>
      <c r="BJ99" s="1411"/>
      <c r="BK99" s="1411"/>
      <c r="BL99" s="1411">
        <f>BL26*BL13</f>
        <v>0</v>
      </c>
      <c r="BM99" s="1411">
        <f>BM26*BM13</f>
        <v>0</v>
      </c>
      <c r="BN99" s="1411"/>
      <c r="BO99" s="1411"/>
      <c r="BP99" s="1411"/>
      <c r="BQ99" s="1411"/>
      <c r="BR99" s="1411"/>
      <c r="BS99" s="1411"/>
      <c r="BT99" s="1411"/>
      <c r="BU99" s="1411"/>
      <c r="BV99" s="1411"/>
      <c r="BW99" s="1411"/>
      <c r="BX99" s="1411"/>
      <c r="BY99" s="1411">
        <f>BY26*BY13</f>
        <v>0</v>
      </c>
      <c r="BZ99" s="1411">
        <f>BZ26*BZ13</f>
        <v>0</v>
      </c>
      <c r="CA99" s="1411"/>
      <c r="CB99" s="1411"/>
      <c r="CC99" s="1411"/>
      <c r="CD99" s="1411"/>
      <c r="CE99" s="1411"/>
      <c r="CF99" s="1411">
        <f>CF26*CF13</f>
        <v>0</v>
      </c>
      <c r="CG99" s="1411">
        <f>CG26*CG13</f>
        <v>0</v>
      </c>
    </row>
    <row r="100" spans="1:85">
      <c r="A100" s="1586"/>
      <c r="B100" s="1411" t="s">
        <v>1248</v>
      </c>
      <c r="C100" s="1411">
        <f>IF(C16="Orlov",0,(C28*C11)+(C28*C12))</f>
        <v>0</v>
      </c>
      <c r="D100" s="1411">
        <f>IF(D16="Orlov",0,D28*D11+D28*D12)</f>
        <v>0</v>
      </c>
      <c r="E100" s="1411">
        <f t="shared" ref="E100:AJ100" si="357">IF(E16="Orlov",0,E28*E13)</f>
        <v>0</v>
      </c>
      <c r="F100" s="1411">
        <f t="shared" si="357"/>
        <v>0</v>
      </c>
      <c r="G100" s="1411">
        <f t="shared" si="357"/>
        <v>0</v>
      </c>
      <c r="H100" s="1411">
        <f t="shared" si="357"/>
        <v>0</v>
      </c>
      <c r="I100" s="1411">
        <f t="shared" si="357"/>
        <v>0</v>
      </c>
      <c r="J100" s="1411">
        <f t="shared" si="357"/>
        <v>0</v>
      </c>
      <c r="K100" s="1411">
        <f t="shared" si="357"/>
        <v>0</v>
      </c>
      <c r="L100" s="1411">
        <f t="shared" si="357"/>
        <v>0</v>
      </c>
      <c r="M100" s="1411">
        <f t="shared" si="357"/>
        <v>0</v>
      </c>
      <c r="N100" s="1411">
        <f t="shared" si="357"/>
        <v>0</v>
      </c>
      <c r="O100" s="1411">
        <f t="shared" si="357"/>
        <v>0</v>
      </c>
      <c r="P100" s="1411">
        <f t="shared" si="357"/>
        <v>0</v>
      </c>
      <c r="Q100" s="1411">
        <f t="shared" si="357"/>
        <v>0</v>
      </c>
      <c r="R100" s="1411">
        <f t="shared" si="357"/>
        <v>0</v>
      </c>
      <c r="S100" s="1411">
        <f t="shared" si="357"/>
        <v>0</v>
      </c>
      <c r="T100" s="1411">
        <f t="shared" si="357"/>
        <v>0</v>
      </c>
      <c r="U100" s="1411">
        <f t="shared" si="357"/>
        <v>0</v>
      </c>
      <c r="V100" s="1411">
        <f t="shared" si="357"/>
        <v>0</v>
      </c>
      <c r="W100" s="1411">
        <f t="shared" si="357"/>
        <v>0</v>
      </c>
      <c r="X100" s="1411">
        <f t="shared" si="357"/>
        <v>0</v>
      </c>
      <c r="Y100" s="1411">
        <f t="shared" si="357"/>
        <v>0</v>
      </c>
      <c r="Z100" s="1411">
        <f t="shared" si="357"/>
        <v>0</v>
      </c>
      <c r="AA100" s="1411">
        <f t="shared" si="357"/>
        <v>0</v>
      </c>
      <c r="AB100" s="1411">
        <f t="shared" si="357"/>
        <v>0</v>
      </c>
      <c r="AC100" s="1411">
        <f t="shared" si="357"/>
        <v>0</v>
      </c>
      <c r="AD100" s="1411">
        <f t="shared" si="357"/>
        <v>0</v>
      </c>
      <c r="AE100" s="1411">
        <f t="shared" si="357"/>
        <v>0</v>
      </c>
      <c r="AF100" s="1411">
        <f t="shared" si="357"/>
        <v>0</v>
      </c>
      <c r="AG100" s="1411">
        <f t="shared" si="357"/>
        <v>0</v>
      </c>
      <c r="AH100" s="1411">
        <f t="shared" si="357"/>
        <v>0</v>
      </c>
      <c r="AI100" s="1411">
        <f t="shared" si="357"/>
        <v>0</v>
      </c>
      <c r="AJ100" s="1411">
        <f t="shared" si="357"/>
        <v>0</v>
      </c>
      <c r="AK100" s="1411">
        <f t="shared" ref="AK100:BP100" si="358">IF(AK16="Orlov",0,AK28*AK13)</f>
        <v>0</v>
      </c>
      <c r="AL100" s="1411">
        <f t="shared" si="358"/>
        <v>0</v>
      </c>
      <c r="AM100" s="1411">
        <f t="shared" si="358"/>
        <v>0</v>
      </c>
      <c r="AN100" s="1411">
        <f t="shared" si="358"/>
        <v>0</v>
      </c>
      <c r="AO100" s="1411">
        <f t="shared" si="358"/>
        <v>0</v>
      </c>
      <c r="AP100" s="1411">
        <f t="shared" si="358"/>
        <v>0</v>
      </c>
      <c r="AQ100" s="1411">
        <f t="shared" si="358"/>
        <v>0</v>
      </c>
      <c r="AR100" s="1411">
        <f t="shared" si="358"/>
        <v>0</v>
      </c>
      <c r="AS100" s="1411">
        <f t="shared" si="358"/>
        <v>0</v>
      </c>
      <c r="AT100" s="1411">
        <f t="shared" si="358"/>
        <v>0</v>
      </c>
      <c r="AU100" s="1411">
        <f t="shared" si="358"/>
        <v>0</v>
      </c>
      <c r="AV100" s="1411">
        <f t="shared" si="358"/>
        <v>0</v>
      </c>
      <c r="AW100" s="1411">
        <f t="shared" si="358"/>
        <v>0</v>
      </c>
      <c r="AX100" s="1411">
        <f t="shared" si="358"/>
        <v>0</v>
      </c>
      <c r="AY100" s="1411">
        <f t="shared" si="358"/>
        <v>0</v>
      </c>
      <c r="AZ100" s="1411">
        <f t="shared" si="358"/>
        <v>0</v>
      </c>
      <c r="BA100" s="1411">
        <f t="shared" si="358"/>
        <v>0</v>
      </c>
      <c r="BB100" s="1411">
        <f t="shared" si="358"/>
        <v>0</v>
      </c>
      <c r="BC100" s="1411">
        <f t="shared" si="358"/>
        <v>0</v>
      </c>
      <c r="BD100" s="1411">
        <f t="shared" si="358"/>
        <v>0</v>
      </c>
      <c r="BE100" s="1411">
        <f t="shared" si="358"/>
        <v>0</v>
      </c>
      <c r="BF100" s="1411">
        <f t="shared" si="358"/>
        <v>0</v>
      </c>
      <c r="BG100" s="1411">
        <f t="shared" si="358"/>
        <v>0</v>
      </c>
      <c r="BH100" s="1411">
        <f t="shared" si="358"/>
        <v>0</v>
      </c>
      <c r="BI100" s="1411">
        <f t="shared" si="358"/>
        <v>0</v>
      </c>
      <c r="BJ100" s="1411">
        <f t="shared" si="358"/>
        <v>0</v>
      </c>
      <c r="BK100" s="1411">
        <f t="shared" si="358"/>
        <v>0</v>
      </c>
      <c r="BL100" s="1411">
        <f t="shared" si="358"/>
        <v>0</v>
      </c>
      <c r="BM100" s="1411">
        <f t="shared" si="358"/>
        <v>0</v>
      </c>
      <c r="BN100" s="1411">
        <f t="shared" si="358"/>
        <v>0</v>
      </c>
      <c r="BO100" s="1411">
        <f t="shared" si="358"/>
        <v>0</v>
      </c>
      <c r="BP100" s="1411">
        <f t="shared" si="358"/>
        <v>0</v>
      </c>
      <c r="BQ100" s="1411">
        <f t="shared" ref="BQ100:CG100" si="359">IF(BQ16="Orlov",0,BQ28*BQ13)</f>
        <v>0</v>
      </c>
      <c r="BR100" s="1411">
        <f t="shared" si="359"/>
        <v>0</v>
      </c>
      <c r="BS100" s="1411">
        <f t="shared" si="359"/>
        <v>0</v>
      </c>
      <c r="BT100" s="1411">
        <f t="shared" si="359"/>
        <v>0</v>
      </c>
      <c r="BU100" s="1411">
        <f t="shared" si="359"/>
        <v>0</v>
      </c>
      <c r="BV100" s="1411">
        <f t="shared" si="359"/>
        <v>0</v>
      </c>
      <c r="BW100" s="1411">
        <f t="shared" si="359"/>
        <v>0</v>
      </c>
      <c r="BX100" s="1411">
        <f t="shared" si="359"/>
        <v>0</v>
      </c>
      <c r="BY100" s="1411">
        <f t="shared" si="359"/>
        <v>0</v>
      </c>
      <c r="BZ100" s="1411">
        <f t="shared" si="359"/>
        <v>0</v>
      </c>
      <c r="CA100" s="1411">
        <f t="shared" si="359"/>
        <v>0</v>
      </c>
      <c r="CB100" s="1411">
        <f t="shared" si="359"/>
        <v>0</v>
      </c>
      <c r="CC100" s="1411">
        <f t="shared" si="359"/>
        <v>0</v>
      </c>
      <c r="CD100" s="1411">
        <f t="shared" si="359"/>
        <v>0</v>
      </c>
      <c r="CE100" s="1411">
        <f t="shared" si="359"/>
        <v>0</v>
      </c>
      <c r="CF100" s="1411">
        <f t="shared" si="359"/>
        <v>0</v>
      </c>
      <c r="CG100" s="1411">
        <f t="shared" si="359"/>
        <v>0</v>
      </c>
    </row>
    <row r="101" spans="1:85">
      <c r="A101" s="1586"/>
      <c r="B101" s="1411" t="s">
        <v>1220</v>
      </c>
      <c r="C101" s="1411">
        <f t="shared" ref="C101:AH101" si="360">IF(C16="Orlov",0,C29*C13)</f>
        <v>0</v>
      </c>
      <c r="D101" s="1411">
        <f t="shared" si="360"/>
        <v>0</v>
      </c>
      <c r="E101" s="1411">
        <f t="shared" si="360"/>
        <v>0</v>
      </c>
      <c r="F101" s="1411">
        <f t="shared" si="360"/>
        <v>0</v>
      </c>
      <c r="G101" s="1411">
        <f t="shared" si="360"/>
        <v>0</v>
      </c>
      <c r="H101" s="1411">
        <f t="shared" si="360"/>
        <v>0</v>
      </c>
      <c r="I101" s="1411">
        <f t="shared" si="360"/>
        <v>0</v>
      </c>
      <c r="J101" s="1411">
        <f t="shared" si="360"/>
        <v>0</v>
      </c>
      <c r="K101" s="1411">
        <f t="shared" si="360"/>
        <v>0</v>
      </c>
      <c r="L101" s="1411">
        <f t="shared" si="360"/>
        <v>0</v>
      </c>
      <c r="M101" s="1411">
        <f t="shared" si="360"/>
        <v>0</v>
      </c>
      <c r="N101" s="1411">
        <f t="shared" si="360"/>
        <v>0</v>
      </c>
      <c r="O101" s="1411">
        <f t="shared" si="360"/>
        <v>0</v>
      </c>
      <c r="P101" s="1411">
        <f t="shared" si="360"/>
        <v>0</v>
      </c>
      <c r="Q101" s="1411">
        <f t="shared" si="360"/>
        <v>0</v>
      </c>
      <c r="R101" s="1411">
        <f t="shared" si="360"/>
        <v>0</v>
      </c>
      <c r="S101" s="1411">
        <f t="shared" si="360"/>
        <v>0</v>
      </c>
      <c r="T101" s="1411">
        <f t="shared" si="360"/>
        <v>0</v>
      </c>
      <c r="U101" s="1411">
        <f t="shared" si="360"/>
        <v>0</v>
      </c>
      <c r="V101" s="1411">
        <f t="shared" si="360"/>
        <v>0</v>
      </c>
      <c r="W101" s="1411">
        <f t="shared" si="360"/>
        <v>0</v>
      </c>
      <c r="X101" s="1411">
        <f t="shared" si="360"/>
        <v>0</v>
      </c>
      <c r="Y101" s="1411">
        <f t="shared" si="360"/>
        <v>0</v>
      </c>
      <c r="Z101" s="1411">
        <f t="shared" si="360"/>
        <v>0</v>
      </c>
      <c r="AA101" s="1411">
        <f t="shared" si="360"/>
        <v>0</v>
      </c>
      <c r="AB101" s="1411">
        <f t="shared" si="360"/>
        <v>0</v>
      </c>
      <c r="AC101" s="1411">
        <f t="shared" si="360"/>
        <v>0</v>
      </c>
      <c r="AD101" s="1411">
        <f t="shared" si="360"/>
        <v>0</v>
      </c>
      <c r="AE101" s="1411">
        <f t="shared" si="360"/>
        <v>0</v>
      </c>
      <c r="AF101" s="1411">
        <f t="shared" si="360"/>
        <v>0</v>
      </c>
      <c r="AG101" s="1411">
        <f t="shared" si="360"/>
        <v>0</v>
      </c>
      <c r="AH101" s="1411">
        <f t="shared" si="360"/>
        <v>0</v>
      </c>
      <c r="AI101" s="1411">
        <f t="shared" ref="AI101:BO101" si="361">IF(AI16="Orlov",0,AI29*AI13)</f>
        <v>0</v>
      </c>
      <c r="AJ101" s="1411">
        <f t="shared" si="361"/>
        <v>0</v>
      </c>
      <c r="AK101" s="1411">
        <f t="shared" si="361"/>
        <v>0</v>
      </c>
      <c r="AL101" s="1411">
        <f t="shared" si="361"/>
        <v>0</v>
      </c>
      <c r="AM101" s="1411">
        <f t="shared" si="361"/>
        <v>0</v>
      </c>
      <c r="AN101" s="1411">
        <f t="shared" si="361"/>
        <v>0</v>
      </c>
      <c r="AO101" s="1411">
        <f t="shared" si="361"/>
        <v>0</v>
      </c>
      <c r="AP101" s="1411">
        <f t="shared" si="361"/>
        <v>0</v>
      </c>
      <c r="AQ101" s="1411">
        <f t="shared" si="361"/>
        <v>0</v>
      </c>
      <c r="AR101" s="1411">
        <f t="shared" si="361"/>
        <v>0</v>
      </c>
      <c r="AS101" s="1411">
        <f t="shared" si="361"/>
        <v>0</v>
      </c>
      <c r="AT101" s="1411">
        <f t="shared" si="361"/>
        <v>0</v>
      </c>
      <c r="AU101" s="1411">
        <f t="shared" si="361"/>
        <v>0</v>
      </c>
      <c r="AV101" s="1411">
        <f t="shared" si="361"/>
        <v>0</v>
      </c>
      <c r="AW101" s="1411">
        <f t="shared" si="361"/>
        <v>0</v>
      </c>
      <c r="AX101" s="1411">
        <f t="shared" si="361"/>
        <v>0</v>
      </c>
      <c r="AY101" s="1411">
        <f t="shared" si="361"/>
        <v>0</v>
      </c>
      <c r="AZ101" s="1411">
        <f t="shared" si="361"/>
        <v>0</v>
      </c>
      <c r="BA101" s="1411">
        <f t="shared" si="361"/>
        <v>0</v>
      </c>
      <c r="BB101" s="1411">
        <f t="shared" si="361"/>
        <v>0</v>
      </c>
      <c r="BC101" s="1411">
        <f t="shared" si="361"/>
        <v>0</v>
      </c>
      <c r="BD101" s="1411">
        <f t="shared" si="361"/>
        <v>0</v>
      </c>
      <c r="BE101" s="1411">
        <f t="shared" si="361"/>
        <v>0</v>
      </c>
      <c r="BF101" s="1411">
        <f t="shared" si="361"/>
        <v>0</v>
      </c>
      <c r="BG101" s="1411">
        <f t="shared" si="361"/>
        <v>0</v>
      </c>
      <c r="BH101" s="1411">
        <f t="shared" si="361"/>
        <v>0</v>
      </c>
      <c r="BI101" s="1411">
        <f t="shared" si="361"/>
        <v>0</v>
      </c>
      <c r="BJ101" s="1411">
        <f t="shared" si="361"/>
        <v>0</v>
      </c>
      <c r="BK101" s="1411">
        <f t="shared" si="361"/>
        <v>0</v>
      </c>
      <c r="BL101" s="1411">
        <f t="shared" si="361"/>
        <v>0</v>
      </c>
      <c r="BM101" s="1411">
        <f t="shared" si="361"/>
        <v>0</v>
      </c>
      <c r="BN101" s="1411">
        <f t="shared" si="361"/>
        <v>0</v>
      </c>
      <c r="BO101" s="1411">
        <f t="shared" si="361"/>
        <v>0</v>
      </c>
      <c r="BP101" s="1411"/>
      <c r="BQ101" s="1411"/>
      <c r="BR101" s="1411"/>
      <c r="BS101" s="1411"/>
      <c r="BT101" s="1411"/>
      <c r="BU101" s="1411"/>
      <c r="BV101" s="1411"/>
      <c r="BW101" s="1411"/>
      <c r="BX101" s="1411"/>
      <c r="BY101" s="1411"/>
      <c r="BZ101" s="1411"/>
      <c r="CA101" s="1411"/>
      <c r="CB101" s="1411"/>
      <c r="CC101" s="1411"/>
      <c r="CD101" s="1411"/>
      <c r="CE101" s="1411"/>
      <c r="CF101" s="1411"/>
      <c r="CG101" s="1411"/>
    </row>
    <row r="102" spans="1:85">
      <c r="A102" s="1586"/>
      <c r="B102" s="1411" t="s">
        <v>1172</v>
      </c>
      <c r="C102" s="1411">
        <f>IF(C16="Orlov",0,(C30+C33)*C22/12*C13)</f>
        <v>0</v>
      </c>
      <c r="D102" s="1411">
        <f>IF(D16="Orlov",0,D30*D22/12*D13)</f>
        <v>0</v>
      </c>
      <c r="E102" s="1411">
        <f t="shared" ref="E102:AJ102" si="362">IF(E16="Orlov",0,(E30+E33)*E22/12*E13)</f>
        <v>0</v>
      </c>
      <c r="F102" s="1411">
        <f t="shared" si="362"/>
        <v>0</v>
      </c>
      <c r="G102" s="1411">
        <f t="shared" si="362"/>
        <v>0</v>
      </c>
      <c r="H102" s="1411">
        <f t="shared" si="362"/>
        <v>0</v>
      </c>
      <c r="I102" s="1411">
        <f t="shared" si="362"/>
        <v>0</v>
      </c>
      <c r="J102" s="1411">
        <f t="shared" si="362"/>
        <v>0</v>
      </c>
      <c r="K102" s="1411">
        <f t="shared" si="362"/>
        <v>0</v>
      </c>
      <c r="L102" s="1411">
        <f t="shared" si="362"/>
        <v>0</v>
      </c>
      <c r="M102" s="1411">
        <f t="shared" si="362"/>
        <v>0</v>
      </c>
      <c r="N102" s="1411">
        <f t="shared" si="362"/>
        <v>0</v>
      </c>
      <c r="O102" s="1411">
        <f t="shared" si="362"/>
        <v>0</v>
      </c>
      <c r="P102" s="1411">
        <f t="shared" si="362"/>
        <v>0</v>
      </c>
      <c r="Q102" s="1411">
        <f t="shared" si="362"/>
        <v>0</v>
      </c>
      <c r="R102" s="1411">
        <f t="shared" si="362"/>
        <v>0</v>
      </c>
      <c r="S102" s="1411">
        <f t="shared" si="362"/>
        <v>0</v>
      </c>
      <c r="T102" s="1411">
        <f t="shared" si="362"/>
        <v>0</v>
      </c>
      <c r="U102" s="1411">
        <f t="shared" si="362"/>
        <v>0</v>
      </c>
      <c r="V102" s="1411">
        <f t="shared" si="362"/>
        <v>0</v>
      </c>
      <c r="W102" s="1411">
        <f t="shared" si="362"/>
        <v>0</v>
      </c>
      <c r="X102" s="1411">
        <f t="shared" si="362"/>
        <v>0</v>
      </c>
      <c r="Y102" s="1411">
        <f t="shared" si="362"/>
        <v>0</v>
      </c>
      <c r="Z102" s="1411">
        <f t="shared" si="362"/>
        <v>0</v>
      </c>
      <c r="AA102" s="1411">
        <f t="shared" si="362"/>
        <v>0</v>
      </c>
      <c r="AB102" s="1411">
        <f t="shared" si="362"/>
        <v>0</v>
      </c>
      <c r="AC102" s="1411">
        <f t="shared" si="362"/>
        <v>0</v>
      </c>
      <c r="AD102" s="1411">
        <f t="shared" si="362"/>
        <v>0</v>
      </c>
      <c r="AE102" s="1411">
        <f t="shared" si="362"/>
        <v>0</v>
      </c>
      <c r="AF102" s="1411">
        <f t="shared" si="362"/>
        <v>0</v>
      </c>
      <c r="AG102" s="1411">
        <f t="shared" si="362"/>
        <v>0</v>
      </c>
      <c r="AH102" s="1411">
        <f t="shared" si="362"/>
        <v>0</v>
      </c>
      <c r="AI102" s="1411">
        <f t="shared" si="362"/>
        <v>0</v>
      </c>
      <c r="AJ102" s="1411">
        <f t="shared" si="362"/>
        <v>0</v>
      </c>
      <c r="AK102" s="1411">
        <f t="shared" ref="AK102:BP102" si="363">IF(AK16="Orlov",0,(AK30+AK33)*AK22/12*AK13)</f>
        <v>0</v>
      </c>
      <c r="AL102" s="1411">
        <f t="shared" si="363"/>
        <v>0</v>
      </c>
      <c r="AM102" s="1411">
        <f t="shared" si="363"/>
        <v>0</v>
      </c>
      <c r="AN102" s="1411">
        <f t="shared" si="363"/>
        <v>0</v>
      </c>
      <c r="AO102" s="1411">
        <f t="shared" si="363"/>
        <v>0</v>
      </c>
      <c r="AP102" s="1411">
        <f t="shared" si="363"/>
        <v>0</v>
      </c>
      <c r="AQ102" s="1411">
        <f t="shared" si="363"/>
        <v>0</v>
      </c>
      <c r="AR102" s="1411">
        <f t="shared" si="363"/>
        <v>0</v>
      </c>
      <c r="AS102" s="1411">
        <f t="shared" si="363"/>
        <v>0</v>
      </c>
      <c r="AT102" s="1411">
        <f t="shared" si="363"/>
        <v>0</v>
      </c>
      <c r="AU102" s="1411">
        <f t="shared" si="363"/>
        <v>0</v>
      </c>
      <c r="AV102" s="1411">
        <f t="shared" si="363"/>
        <v>0</v>
      </c>
      <c r="AW102" s="1411">
        <f t="shared" si="363"/>
        <v>0</v>
      </c>
      <c r="AX102" s="1411">
        <f t="shared" si="363"/>
        <v>0</v>
      </c>
      <c r="AY102" s="1411">
        <f t="shared" si="363"/>
        <v>0</v>
      </c>
      <c r="AZ102" s="1411">
        <f t="shared" si="363"/>
        <v>0</v>
      </c>
      <c r="BA102" s="1411">
        <f t="shared" si="363"/>
        <v>0</v>
      </c>
      <c r="BB102" s="1411">
        <f t="shared" si="363"/>
        <v>0</v>
      </c>
      <c r="BC102" s="1411">
        <f t="shared" si="363"/>
        <v>0</v>
      </c>
      <c r="BD102" s="1411">
        <f t="shared" si="363"/>
        <v>0</v>
      </c>
      <c r="BE102" s="1411">
        <f t="shared" si="363"/>
        <v>0</v>
      </c>
      <c r="BF102" s="1411">
        <f t="shared" si="363"/>
        <v>0</v>
      </c>
      <c r="BG102" s="1411">
        <f t="shared" si="363"/>
        <v>0</v>
      </c>
      <c r="BH102" s="1411">
        <f t="shared" si="363"/>
        <v>0</v>
      </c>
      <c r="BI102" s="1411">
        <f t="shared" si="363"/>
        <v>0</v>
      </c>
      <c r="BJ102" s="1411">
        <f t="shared" si="363"/>
        <v>0</v>
      </c>
      <c r="BK102" s="1411">
        <f t="shared" si="363"/>
        <v>0</v>
      </c>
      <c r="BL102" s="1411">
        <f t="shared" si="363"/>
        <v>0</v>
      </c>
      <c r="BM102" s="1411">
        <f t="shared" si="363"/>
        <v>0</v>
      </c>
      <c r="BN102" s="1411">
        <f t="shared" si="363"/>
        <v>0</v>
      </c>
      <c r="BO102" s="1411">
        <f t="shared" si="363"/>
        <v>0</v>
      </c>
      <c r="BP102" s="1411">
        <f t="shared" si="363"/>
        <v>0</v>
      </c>
      <c r="BQ102" s="1411">
        <f t="shared" ref="BQ102:CG102" si="364">IF(BQ16="Orlov",0,(BQ30+BQ33)*BQ22/12*BQ13)</f>
        <v>0</v>
      </c>
      <c r="BR102" s="1411">
        <f t="shared" si="364"/>
        <v>0</v>
      </c>
      <c r="BS102" s="1411">
        <f t="shared" si="364"/>
        <v>0</v>
      </c>
      <c r="BT102" s="1411">
        <f t="shared" si="364"/>
        <v>0</v>
      </c>
      <c r="BU102" s="1411">
        <f t="shared" si="364"/>
        <v>0</v>
      </c>
      <c r="BV102" s="1411">
        <f t="shared" si="364"/>
        <v>0</v>
      </c>
      <c r="BW102" s="1411">
        <f t="shared" si="364"/>
        <v>0</v>
      </c>
      <c r="BX102" s="1411">
        <f t="shared" si="364"/>
        <v>0</v>
      </c>
      <c r="BY102" s="1411">
        <f t="shared" si="364"/>
        <v>0</v>
      </c>
      <c r="BZ102" s="1411">
        <f t="shared" si="364"/>
        <v>0</v>
      </c>
      <c r="CA102" s="1411">
        <f t="shared" si="364"/>
        <v>0</v>
      </c>
      <c r="CB102" s="1411">
        <f t="shared" si="364"/>
        <v>0</v>
      </c>
      <c r="CC102" s="1411">
        <f t="shared" si="364"/>
        <v>0</v>
      </c>
      <c r="CD102" s="1411">
        <f t="shared" si="364"/>
        <v>0</v>
      </c>
      <c r="CE102" s="1411">
        <f t="shared" si="364"/>
        <v>0</v>
      </c>
      <c r="CF102" s="1411">
        <f t="shared" si="364"/>
        <v>0</v>
      </c>
      <c r="CG102" s="1411">
        <f t="shared" si="364"/>
        <v>0</v>
      </c>
    </row>
    <row r="103" spans="1:85">
      <c r="A103" s="1586"/>
      <c r="B103" s="1411" t="s">
        <v>1173</v>
      </c>
      <c r="C103" s="1411">
        <f>IF(C16="Orlov",0,(C31*C22/12*C13)+(C34+C35+C36)*C22*C24/12*C13)</f>
        <v>0</v>
      </c>
      <c r="D103" s="1411">
        <f>IF(D16="Orlov",0,(D31*D22/12*D13)+(D34+D36)*D22*D24/12*D13)</f>
        <v>0</v>
      </c>
      <c r="E103" s="1411">
        <f t="shared" ref="E103:AJ103" si="365">IF(E16="Orlov",0,(E31*E22/12*E13)+(E34+E35+E36)*E22*E24/12*E13)</f>
        <v>0</v>
      </c>
      <c r="F103" s="1411">
        <f t="shared" si="365"/>
        <v>0</v>
      </c>
      <c r="G103" s="1411">
        <f t="shared" si="365"/>
        <v>0</v>
      </c>
      <c r="H103" s="1411">
        <f t="shared" si="365"/>
        <v>0</v>
      </c>
      <c r="I103" s="1411">
        <f t="shared" si="365"/>
        <v>0</v>
      </c>
      <c r="J103" s="1411">
        <f t="shared" si="365"/>
        <v>0</v>
      </c>
      <c r="K103" s="1411">
        <f t="shared" si="365"/>
        <v>0</v>
      </c>
      <c r="L103" s="1411">
        <f t="shared" si="365"/>
        <v>0</v>
      </c>
      <c r="M103" s="1411">
        <f t="shared" si="365"/>
        <v>0</v>
      </c>
      <c r="N103" s="1411">
        <f t="shared" si="365"/>
        <v>0</v>
      </c>
      <c r="O103" s="1411">
        <f t="shared" si="365"/>
        <v>0</v>
      </c>
      <c r="P103" s="1411">
        <f t="shared" si="365"/>
        <v>0</v>
      </c>
      <c r="Q103" s="1411">
        <f t="shared" si="365"/>
        <v>0</v>
      </c>
      <c r="R103" s="1411">
        <f t="shared" si="365"/>
        <v>0</v>
      </c>
      <c r="S103" s="1411">
        <f t="shared" si="365"/>
        <v>0</v>
      </c>
      <c r="T103" s="1411">
        <f t="shared" si="365"/>
        <v>0</v>
      </c>
      <c r="U103" s="1411">
        <f t="shared" si="365"/>
        <v>0</v>
      </c>
      <c r="V103" s="1411">
        <f t="shared" si="365"/>
        <v>0</v>
      </c>
      <c r="W103" s="1411">
        <f t="shared" si="365"/>
        <v>0</v>
      </c>
      <c r="X103" s="1411">
        <f t="shared" si="365"/>
        <v>0</v>
      </c>
      <c r="Y103" s="1411">
        <f t="shared" si="365"/>
        <v>0</v>
      </c>
      <c r="Z103" s="1411">
        <f t="shared" si="365"/>
        <v>0</v>
      </c>
      <c r="AA103" s="1411">
        <f t="shared" si="365"/>
        <v>0</v>
      </c>
      <c r="AB103" s="1411">
        <f t="shared" si="365"/>
        <v>0</v>
      </c>
      <c r="AC103" s="1411">
        <f t="shared" si="365"/>
        <v>0</v>
      </c>
      <c r="AD103" s="1411">
        <f t="shared" si="365"/>
        <v>0</v>
      </c>
      <c r="AE103" s="1411">
        <f t="shared" si="365"/>
        <v>0</v>
      </c>
      <c r="AF103" s="1411">
        <f t="shared" si="365"/>
        <v>0</v>
      </c>
      <c r="AG103" s="1411">
        <f t="shared" si="365"/>
        <v>0</v>
      </c>
      <c r="AH103" s="1411">
        <f t="shared" si="365"/>
        <v>0</v>
      </c>
      <c r="AI103" s="1411">
        <f t="shared" si="365"/>
        <v>0</v>
      </c>
      <c r="AJ103" s="1411">
        <f t="shared" si="365"/>
        <v>0</v>
      </c>
      <c r="AK103" s="1411">
        <f t="shared" ref="AK103:BP103" si="366">IF(AK16="Orlov",0,(AK31*AK22/12*AK13)+(AK34+AK35+AK36)*AK22*AK24/12*AK13)</f>
        <v>0</v>
      </c>
      <c r="AL103" s="1411">
        <f t="shared" si="366"/>
        <v>0</v>
      </c>
      <c r="AM103" s="1411">
        <f t="shared" si="366"/>
        <v>0</v>
      </c>
      <c r="AN103" s="1411">
        <f t="shared" si="366"/>
        <v>0</v>
      </c>
      <c r="AO103" s="1411">
        <f t="shared" si="366"/>
        <v>0</v>
      </c>
      <c r="AP103" s="1411">
        <f t="shared" si="366"/>
        <v>0</v>
      </c>
      <c r="AQ103" s="1411">
        <f t="shared" si="366"/>
        <v>0</v>
      </c>
      <c r="AR103" s="1411">
        <f t="shared" si="366"/>
        <v>0</v>
      </c>
      <c r="AS103" s="1411">
        <f t="shared" si="366"/>
        <v>0</v>
      </c>
      <c r="AT103" s="1411">
        <f t="shared" si="366"/>
        <v>0</v>
      </c>
      <c r="AU103" s="1411">
        <f t="shared" si="366"/>
        <v>0</v>
      </c>
      <c r="AV103" s="1411">
        <f t="shared" si="366"/>
        <v>0</v>
      </c>
      <c r="AW103" s="1411">
        <f t="shared" si="366"/>
        <v>0</v>
      </c>
      <c r="AX103" s="1411">
        <f t="shared" si="366"/>
        <v>0</v>
      </c>
      <c r="AY103" s="1411">
        <f t="shared" si="366"/>
        <v>0</v>
      </c>
      <c r="AZ103" s="1411">
        <f t="shared" si="366"/>
        <v>0</v>
      </c>
      <c r="BA103" s="1411">
        <f t="shared" si="366"/>
        <v>0</v>
      </c>
      <c r="BB103" s="1411">
        <f t="shared" si="366"/>
        <v>0</v>
      </c>
      <c r="BC103" s="1411">
        <f t="shared" si="366"/>
        <v>0</v>
      </c>
      <c r="BD103" s="1411">
        <f t="shared" si="366"/>
        <v>0</v>
      </c>
      <c r="BE103" s="1411">
        <f t="shared" si="366"/>
        <v>0</v>
      </c>
      <c r="BF103" s="1411">
        <f t="shared" si="366"/>
        <v>0</v>
      </c>
      <c r="BG103" s="1411">
        <f t="shared" si="366"/>
        <v>0</v>
      </c>
      <c r="BH103" s="1411">
        <f t="shared" si="366"/>
        <v>0</v>
      </c>
      <c r="BI103" s="1411">
        <f t="shared" si="366"/>
        <v>0</v>
      </c>
      <c r="BJ103" s="1411">
        <f t="shared" si="366"/>
        <v>0</v>
      </c>
      <c r="BK103" s="1411">
        <f t="shared" si="366"/>
        <v>0</v>
      </c>
      <c r="BL103" s="1411">
        <f t="shared" si="366"/>
        <v>0</v>
      </c>
      <c r="BM103" s="1411">
        <f t="shared" si="366"/>
        <v>0</v>
      </c>
      <c r="BN103" s="1411">
        <f t="shared" si="366"/>
        <v>0</v>
      </c>
      <c r="BO103" s="1411">
        <f t="shared" si="366"/>
        <v>0</v>
      </c>
      <c r="BP103" s="1411">
        <f t="shared" si="366"/>
        <v>0</v>
      </c>
      <c r="BQ103" s="1411">
        <f t="shared" ref="BQ103:CG103" si="367">IF(BQ16="Orlov",0,(BQ31*BQ22/12*BQ13)+(BQ34+BQ35+BQ36)*BQ22*BQ24/12*BQ13)</f>
        <v>0</v>
      </c>
      <c r="BR103" s="1411">
        <f t="shared" si="367"/>
        <v>0</v>
      </c>
      <c r="BS103" s="1411">
        <f t="shared" si="367"/>
        <v>0</v>
      </c>
      <c r="BT103" s="1411">
        <f t="shared" si="367"/>
        <v>0</v>
      </c>
      <c r="BU103" s="1411">
        <f t="shared" si="367"/>
        <v>0</v>
      </c>
      <c r="BV103" s="1411">
        <f t="shared" si="367"/>
        <v>0</v>
      </c>
      <c r="BW103" s="1411">
        <f t="shared" si="367"/>
        <v>0</v>
      </c>
      <c r="BX103" s="1411">
        <f t="shared" si="367"/>
        <v>0</v>
      </c>
      <c r="BY103" s="1411">
        <f t="shared" si="367"/>
        <v>0</v>
      </c>
      <c r="BZ103" s="1411">
        <f t="shared" si="367"/>
        <v>0</v>
      </c>
      <c r="CA103" s="1411">
        <f t="shared" si="367"/>
        <v>0</v>
      </c>
      <c r="CB103" s="1411">
        <f t="shared" si="367"/>
        <v>0</v>
      </c>
      <c r="CC103" s="1411">
        <f t="shared" si="367"/>
        <v>0</v>
      </c>
      <c r="CD103" s="1411">
        <f t="shared" si="367"/>
        <v>0</v>
      </c>
      <c r="CE103" s="1411">
        <f t="shared" si="367"/>
        <v>0</v>
      </c>
      <c r="CF103" s="1411">
        <f t="shared" si="367"/>
        <v>0</v>
      </c>
      <c r="CG103" s="1411">
        <f t="shared" si="367"/>
        <v>0</v>
      </c>
    </row>
    <row r="104" spans="1:85">
      <c r="A104" s="1586"/>
      <c r="B104" s="1411" t="s">
        <v>1217</v>
      </c>
      <c r="C104" s="1411">
        <f t="shared" ref="C104:AH104" si="368">IF(C16="Orlov",0,C32*C22/12*C13)</f>
        <v>0</v>
      </c>
      <c r="D104" s="1411">
        <f t="shared" si="368"/>
        <v>0</v>
      </c>
      <c r="E104" s="1411">
        <f t="shared" si="368"/>
        <v>0</v>
      </c>
      <c r="F104" s="1411">
        <f t="shared" si="368"/>
        <v>0</v>
      </c>
      <c r="G104" s="1411">
        <f t="shared" si="368"/>
        <v>0</v>
      </c>
      <c r="H104" s="1411">
        <f t="shared" si="368"/>
        <v>0</v>
      </c>
      <c r="I104" s="1411">
        <f t="shared" si="368"/>
        <v>0</v>
      </c>
      <c r="J104" s="1411">
        <f t="shared" si="368"/>
        <v>0</v>
      </c>
      <c r="K104" s="1411">
        <f t="shared" si="368"/>
        <v>0</v>
      </c>
      <c r="L104" s="1411">
        <f t="shared" si="368"/>
        <v>0</v>
      </c>
      <c r="M104" s="1411">
        <f t="shared" si="368"/>
        <v>0</v>
      </c>
      <c r="N104" s="1411">
        <f t="shared" si="368"/>
        <v>0</v>
      </c>
      <c r="O104" s="1411">
        <f t="shared" si="368"/>
        <v>0</v>
      </c>
      <c r="P104" s="1411">
        <f t="shared" si="368"/>
        <v>0</v>
      </c>
      <c r="Q104" s="1411">
        <f t="shared" si="368"/>
        <v>0</v>
      </c>
      <c r="R104" s="1411">
        <f t="shared" si="368"/>
        <v>0</v>
      </c>
      <c r="S104" s="1411">
        <f t="shared" si="368"/>
        <v>0</v>
      </c>
      <c r="T104" s="1411">
        <f t="shared" si="368"/>
        <v>0</v>
      </c>
      <c r="U104" s="1411">
        <f t="shared" si="368"/>
        <v>0</v>
      </c>
      <c r="V104" s="1411">
        <f t="shared" si="368"/>
        <v>0</v>
      </c>
      <c r="W104" s="1411">
        <f t="shared" si="368"/>
        <v>0</v>
      </c>
      <c r="X104" s="1411">
        <f t="shared" si="368"/>
        <v>0</v>
      </c>
      <c r="Y104" s="1411">
        <f t="shared" si="368"/>
        <v>0</v>
      </c>
      <c r="Z104" s="1411">
        <f t="shared" si="368"/>
        <v>0</v>
      </c>
      <c r="AA104" s="1411">
        <f t="shared" si="368"/>
        <v>0</v>
      </c>
      <c r="AB104" s="1411">
        <f t="shared" si="368"/>
        <v>0</v>
      </c>
      <c r="AC104" s="1411">
        <f t="shared" si="368"/>
        <v>0</v>
      </c>
      <c r="AD104" s="1411">
        <f t="shared" si="368"/>
        <v>0</v>
      </c>
      <c r="AE104" s="1411">
        <f t="shared" si="368"/>
        <v>0</v>
      </c>
      <c r="AF104" s="1411">
        <f t="shared" si="368"/>
        <v>0</v>
      </c>
      <c r="AG104" s="1411">
        <f t="shared" si="368"/>
        <v>0</v>
      </c>
      <c r="AH104" s="1411">
        <f t="shared" si="368"/>
        <v>0</v>
      </c>
      <c r="AI104" s="1411">
        <f t="shared" ref="AI104:BN104" si="369">IF(AI16="Orlov",0,AI32*AI22/12*AI13)</f>
        <v>0</v>
      </c>
      <c r="AJ104" s="1411">
        <f t="shared" si="369"/>
        <v>0</v>
      </c>
      <c r="AK104" s="1411">
        <f t="shared" si="369"/>
        <v>0</v>
      </c>
      <c r="AL104" s="1411">
        <f t="shared" si="369"/>
        <v>0</v>
      </c>
      <c r="AM104" s="1411">
        <f t="shared" si="369"/>
        <v>0</v>
      </c>
      <c r="AN104" s="1411">
        <f t="shared" si="369"/>
        <v>0</v>
      </c>
      <c r="AO104" s="1411">
        <f t="shared" si="369"/>
        <v>0</v>
      </c>
      <c r="AP104" s="1411">
        <f t="shared" si="369"/>
        <v>0</v>
      </c>
      <c r="AQ104" s="1411">
        <f t="shared" si="369"/>
        <v>0</v>
      </c>
      <c r="AR104" s="1411">
        <f t="shared" si="369"/>
        <v>0</v>
      </c>
      <c r="AS104" s="1411">
        <f t="shared" si="369"/>
        <v>0</v>
      </c>
      <c r="AT104" s="1411">
        <f t="shared" si="369"/>
        <v>0</v>
      </c>
      <c r="AU104" s="1411">
        <f t="shared" si="369"/>
        <v>0</v>
      </c>
      <c r="AV104" s="1411">
        <f t="shared" si="369"/>
        <v>0</v>
      </c>
      <c r="AW104" s="1411">
        <f t="shared" si="369"/>
        <v>0</v>
      </c>
      <c r="AX104" s="1411">
        <f t="shared" si="369"/>
        <v>0</v>
      </c>
      <c r="AY104" s="1411">
        <f t="shared" si="369"/>
        <v>0</v>
      </c>
      <c r="AZ104" s="1411">
        <f t="shared" si="369"/>
        <v>0</v>
      </c>
      <c r="BA104" s="1411">
        <f t="shared" si="369"/>
        <v>0</v>
      </c>
      <c r="BB104" s="1411">
        <f t="shared" si="369"/>
        <v>0</v>
      </c>
      <c r="BC104" s="1411">
        <f t="shared" si="369"/>
        <v>0</v>
      </c>
      <c r="BD104" s="1411">
        <f t="shared" si="369"/>
        <v>0</v>
      </c>
      <c r="BE104" s="1411">
        <f t="shared" si="369"/>
        <v>0</v>
      </c>
      <c r="BF104" s="1411">
        <f t="shared" si="369"/>
        <v>0</v>
      </c>
      <c r="BG104" s="1411">
        <f t="shared" si="369"/>
        <v>0</v>
      </c>
      <c r="BH104" s="1411">
        <f t="shared" si="369"/>
        <v>0</v>
      </c>
      <c r="BI104" s="1411">
        <f t="shared" si="369"/>
        <v>0</v>
      </c>
      <c r="BJ104" s="1411">
        <f t="shared" si="369"/>
        <v>0</v>
      </c>
      <c r="BK104" s="1411">
        <f t="shared" si="369"/>
        <v>0</v>
      </c>
      <c r="BL104" s="1411">
        <f t="shared" si="369"/>
        <v>0</v>
      </c>
      <c r="BM104" s="1411">
        <f t="shared" si="369"/>
        <v>0</v>
      </c>
      <c r="BN104" s="1411">
        <f t="shared" si="369"/>
        <v>0</v>
      </c>
      <c r="BO104" s="1411">
        <f t="shared" ref="BO104:CG104" si="370">IF(BO16="Orlov",0,BO32*BO22/12*BO13)</f>
        <v>0</v>
      </c>
      <c r="BP104" s="1411">
        <f t="shared" si="370"/>
        <v>0</v>
      </c>
      <c r="BQ104" s="1411">
        <f t="shared" si="370"/>
        <v>0</v>
      </c>
      <c r="BR104" s="1411">
        <f t="shared" si="370"/>
        <v>0</v>
      </c>
      <c r="BS104" s="1411">
        <f t="shared" si="370"/>
        <v>0</v>
      </c>
      <c r="BT104" s="1411">
        <f t="shared" si="370"/>
        <v>0</v>
      </c>
      <c r="BU104" s="1411">
        <f t="shared" si="370"/>
        <v>0</v>
      </c>
      <c r="BV104" s="1411">
        <f t="shared" si="370"/>
        <v>0</v>
      </c>
      <c r="BW104" s="1411">
        <f t="shared" si="370"/>
        <v>0</v>
      </c>
      <c r="BX104" s="1411">
        <f t="shared" si="370"/>
        <v>0</v>
      </c>
      <c r="BY104" s="1411">
        <f t="shared" si="370"/>
        <v>0</v>
      </c>
      <c r="BZ104" s="1411">
        <f t="shared" si="370"/>
        <v>0</v>
      </c>
      <c r="CA104" s="1411">
        <f t="shared" si="370"/>
        <v>0</v>
      </c>
      <c r="CB104" s="1411">
        <f t="shared" si="370"/>
        <v>0</v>
      </c>
      <c r="CC104" s="1411">
        <f t="shared" si="370"/>
        <v>0</v>
      </c>
      <c r="CD104" s="1411">
        <f t="shared" si="370"/>
        <v>0</v>
      </c>
      <c r="CE104" s="1411">
        <f t="shared" si="370"/>
        <v>0</v>
      </c>
      <c r="CF104" s="1411">
        <f t="shared" si="370"/>
        <v>0</v>
      </c>
      <c r="CG104" s="1411">
        <f t="shared" si="370"/>
        <v>0</v>
      </c>
    </row>
    <row r="105" spans="1:85">
      <c r="A105" s="1586"/>
      <c r="B105" s="1411" t="s">
        <v>1215</v>
      </c>
      <c r="C105" s="1411">
        <f t="shared" ref="C105:AH105" si="371">IF(C16="Orlov",0,(C38+C39)*C13)</f>
        <v>0</v>
      </c>
      <c r="D105" s="1411">
        <f t="shared" si="371"/>
        <v>0</v>
      </c>
      <c r="E105" s="1411">
        <f t="shared" si="371"/>
        <v>0</v>
      </c>
      <c r="F105" s="1411">
        <f t="shared" si="371"/>
        <v>0</v>
      </c>
      <c r="G105" s="1411">
        <f t="shared" si="371"/>
        <v>0</v>
      </c>
      <c r="H105" s="1411">
        <f t="shared" si="371"/>
        <v>0</v>
      </c>
      <c r="I105" s="1411">
        <f t="shared" si="371"/>
        <v>0</v>
      </c>
      <c r="J105" s="1411">
        <f t="shared" si="371"/>
        <v>0</v>
      </c>
      <c r="K105" s="1411">
        <f t="shared" si="371"/>
        <v>0</v>
      </c>
      <c r="L105" s="1411">
        <f t="shared" si="371"/>
        <v>0</v>
      </c>
      <c r="M105" s="1411">
        <f t="shared" si="371"/>
        <v>0</v>
      </c>
      <c r="N105" s="1411">
        <f t="shared" si="371"/>
        <v>0</v>
      </c>
      <c r="O105" s="1411">
        <f t="shared" si="371"/>
        <v>0</v>
      </c>
      <c r="P105" s="1411">
        <f t="shared" si="371"/>
        <v>0</v>
      </c>
      <c r="Q105" s="1411">
        <f t="shared" si="371"/>
        <v>0</v>
      </c>
      <c r="R105" s="1411">
        <f t="shared" si="371"/>
        <v>0</v>
      </c>
      <c r="S105" s="1411">
        <f t="shared" si="371"/>
        <v>0</v>
      </c>
      <c r="T105" s="1411">
        <f t="shared" si="371"/>
        <v>0</v>
      </c>
      <c r="U105" s="1411">
        <f t="shared" si="371"/>
        <v>0</v>
      </c>
      <c r="V105" s="1411">
        <f t="shared" si="371"/>
        <v>0</v>
      </c>
      <c r="W105" s="1411">
        <f t="shared" si="371"/>
        <v>0</v>
      </c>
      <c r="X105" s="1411">
        <f t="shared" si="371"/>
        <v>0</v>
      </c>
      <c r="Y105" s="1411">
        <f t="shared" si="371"/>
        <v>0</v>
      </c>
      <c r="Z105" s="1411">
        <f t="shared" si="371"/>
        <v>0</v>
      </c>
      <c r="AA105" s="1411">
        <f t="shared" si="371"/>
        <v>0</v>
      </c>
      <c r="AB105" s="1411">
        <f t="shared" si="371"/>
        <v>0</v>
      </c>
      <c r="AC105" s="1411">
        <f t="shared" si="371"/>
        <v>0</v>
      </c>
      <c r="AD105" s="1411">
        <f t="shared" si="371"/>
        <v>0</v>
      </c>
      <c r="AE105" s="1411">
        <f t="shared" si="371"/>
        <v>0</v>
      </c>
      <c r="AF105" s="1411">
        <f t="shared" si="371"/>
        <v>0</v>
      </c>
      <c r="AG105" s="1411">
        <f t="shared" si="371"/>
        <v>0</v>
      </c>
      <c r="AH105" s="1411">
        <f t="shared" si="371"/>
        <v>0</v>
      </c>
      <c r="AI105" s="1411">
        <f t="shared" ref="AI105:BN105" si="372">IF(AI16="Orlov",0,(AI38+AI39)*AI13)</f>
        <v>0</v>
      </c>
      <c r="AJ105" s="1411">
        <f t="shared" si="372"/>
        <v>0</v>
      </c>
      <c r="AK105" s="1411">
        <f t="shared" si="372"/>
        <v>0</v>
      </c>
      <c r="AL105" s="1411">
        <f t="shared" si="372"/>
        <v>0</v>
      </c>
      <c r="AM105" s="1411">
        <f t="shared" si="372"/>
        <v>0</v>
      </c>
      <c r="AN105" s="1411">
        <f t="shared" si="372"/>
        <v>0</v>
      </c>
      <c r="AO105" s="1411">
        <f t="shared" si="372"/>
        <v>0</v>
      </c>
      <c r="AP105" s="1411">
        <f t="shared" si="372"/>
        <v>0</v>
      </c>
      <c r="AQ105" s="1411">
        <f t="shared" si="372"/>
        <v>0</v>
      </c>
      <c r="AR105" s="1411">
        <f t="shared" si="372"/>
        <v>0</v>
      </c>
      <c r="AS105" s="1411">
        <f t="shared" si="372"/>
        <v>0</v>
      </c>
      <c r="AT105" s="1411">
        <f t="shared" si="372"/>
        <v>0</v>
      </c>
      <c r="AU105" s="1411">
        <f t="shared" si="372"/>
        <v>0</v>
      </c>
      <c r="AV105" s="1411">
        <f t="shared" si="372"/>
        <v>0</v>
      </c>
      <c r="AW105" s="1411">
        <f t="shared" si="372"/>
        <v>0</v>
      </c>
      <c r="AX105" s="1411">
        <f t="shared" si="372"/>
        <v>0</v>
      </c>
      <c r="AY105" s="1411">
        <f t="shared" si="372"/>
        <v>0</v>
      </c>
      <c r="AZ105" s="1411">
        <f t="shared" si="372"/>
        <v>0</v>
      </c>
      <c r="BA105" s="1411">
        <f t="shared" si="372"/>
        <v>0</v>
      </c>
      <c r="BB105" s="1411">
        <f t="shared" si="372"/>
        <v>0</v>
      </c>
      <c r="BC105" s="1411">
        <f t="shared" si="372"/>
        <v>0</v>
      </c>
      <c r="BD105" s="1411">
        <f t="shared" si="372"/>
        <v>0</v>
      </c>
      <c r="BE105" s="1411">
        <f t="shared" si="372"/>
        <v>0</v>
      </c>
      <c r="BF105" s="1411">
        <f t="shared" si="372"/>
        <v>0</v>
      </c>
      <c r="BG105" s="1411">
        <f t="shared" si="372"/>
        <v>0</v>
      </c>
      <c r="BH105" s="1411">
        <f t="shared" si="372"/>
        <v>0</v>
      </c>
      <c r="BI105" s="1411">
        <f t="shared" si="372"/>
        <v>0</v>
      </c>
      <c r="BJ105" s="1411">
        <f t="shared" si="372"/>
        <v>0</v>
      </c>
      <c r="BK105" s="1411">
        <f t="shared" si="372"/>
        <v>0</v>
      </c>
      <c r="BL105" s="1411">
        <f t="shared" si="372"/>
        <v>0</v>
      </c>
      <c r="BM105" s="1411">
        <f t="shared" si="372"/>
        <v>0</v>
      </c>
      <c r="BN105" s="1411">
        <f t="shared" si="372"/>
        <v>0</v>
      </c>
      <c r="BO105" s="1411">
        <f t="shared" ref="BO105:CG105" si="373">IF(BO16="Orlov",0,(BO38+BO39)*BO13)</f>
        <v>0</v>
      </c>
      <c r="BP105" s="1411">
        <f t="shared" si="373"/>
        <v>0</v>
      </c>
      <c r="BQ105" s="1411">
        <f t="shared" si="373"/>
        <v>0</v>
      </c>
      <c r="BR105" s="1411">
        <f t="shared" si="373"/>
        <v>0</v>
      </c>
      <c r="BS105" s="1411">
        <f t="shared" si="373"/>
        <v>0</v>
      </c>
      <c r="BT105" s="1411">
        <f t="shared" si="373"/>
        <v>0</v>
      </c>
      <c r="BU105" s="1411">
        <f t="shared" si="373"/>
        <v>0</v>
      </c>
      <c r="BV105" s="1411">
        <f t="shared" si="373"/>
        <v>0</v>
      </c>
      <c r="BW105" s="1411">
        <f t="shared" si="373"/>
        <v>0</v>
      </c>
      <c r="BX105" s="1411">
        <f t="shared" si="373"/>
        <v>0</v>
      </c>
      <c r="BY105" s="1411">
        <f t="shared" si="373"/>
        <v>0</v>
      </c>
      <c r="BZ105" s="1411">
        <f t="shared" si="373"/>
        <v>0</v>
      </c>
      <c r="CA105" s="1411">
        <f t="shared" si="373"/>
        <v>0</v>
      </c>
      <c r="CB105" s="1411">
        <f t="shared" si="373"/>
        <v>0</v>
      </c>
      <c r="CC105" s="1411">
        <f t="shared" si="373"/>
        <v>0</v>
      </c>
      <c r="CD105" s="1411">
        <f t="shared" si="373"/>
        <v>0</v>
      </c>
      <c r="CE105" s="1411">
        <f t="shared" si="373"/>
        <v>0</v>
      </c>
      <c r="CF105" s="1411">
        <f t="shared" si="373"/>
        <v>0</v>
      </c>
      <c r="CG105" s="1411">
        <f t="shared" si="373"/>
        <v>0</v>
      </c>
    </row>
    <row r="106" spans="1:85">
      <c r="A106" s="1586"/>
      <c r="B106" s="1411" t="s">
        <v>1096</v>
      </c>
      <c r="C106" s="1411">
        <f t="shared" ref="C106:AH106" si="374">IF(C16="Orlov",0,C40*C13)</f>
        <v>0</v>
      </c>
      <c r="D106" s="1411">
        <f t="shared" si="374"/>
        <v>0</v>
      </c>
      <c r="E106" s="1411">
        <f t="shared" si="374"/>
        <v>0</v>
      </c>
      <c r="F106" s="1411">
        <f t="shared" si="374"/>
        <v>0</v>
      </c>
      <c r="G106" s="1411">
        <f t="shared" si="374"/>
        <v>0</v>
      </c>
      <c r="H106" s="1411">
        <f t="shared" si="374"/>
        <v>0</v>
      </c>
      <c r="I106" s="1411">
        <f t="shared" si="374"/>
        <v>0</v>
      </c>
      <c r="J106" s="1411">
        <f t="shared" si="374"/>
        <v>0</v>
      </c>
      <c r="K106" s="1411">
        <f t="shared" si="374"/>
        <v>0</v>
      </c>
      <c r="L106" s="1411">
        <f t="shared" si="374"/>
        <v>0</v>
      </c>
      <c r="M106" s="1411">
        <f t="shared" si="374"/>
        <v>0</v>
      </c>
      <c r="N106" s="1411">
        <f t="shared" si="374"/>
        <v>0</v>
      </c>
      <c r="O106" s="1411">
        <f t="shared" si="374"/>
        <v>0</v>
      </c>
      <c r="P106" s="1411">
        <f t="shared" si="374"/>
        <v>0</v>
      </c>
      <c r="Q106" s="1411">
        <f t="shared" si="374"/>
        <v>0</v>
      </c>
      <c r="R106" s="1411">
        <f t="shared" si="374"/>
        <v>0</v>
      </c>
      <c r="S106" s="1411">
        <f t="shared" si="374"/>
        <v>0</v>
      </c>
      <c r="T106" s="1411">
        <f t="shared" si="374"/>
        <v>0</v>
      </c>
      <c r="U106" s="1411">
        <f t="shared" si="374"/>
        <v>0</v>
      </c>
      <c r="V106" s="1411">
        <f t="shared" si="374"/>
        <v>0</v>
      </c>
      <c r="W106" s="1411">
        <f t="shared" si="374"/>
        <v>0</v>
      </c>
      <c r="X106" s="1411">
        <f t="shared" si="374"/>
        <v>0</v>
      </c>
      <c r="Y106" s="1411">
        <f t="shared" si="374"/>
        <v>0</v>
      </c>
      <c r="Z106" s="1411">
        <f t="shared" si="374"/>
        <v>0</v>
      </c>
      <c r="AA106" s="1411">
        <f t="shared" si="374"/>
        <v>0</v>
      </c>
      <c r="AB106" s="1411">
        <f t="shared" si="374"/>
        <v>0</v>
      </c>
      <c r="AC106" s="1411">
        <f t="shared" si="374"/>
        <v>0</v>
      </c>
      <c r="AD106" s="1411">
        <f t="shared" si="374"/>
        <v>0</v>
      </c>
      <c r="AE106" s="1411">
        <f t="shared" si="374"/>
        <v>0</v>
      </c>
      <c r="AF106" s="1411">
        <f t="shared" si="374"/>
        <v>0</v>
      </c>
      <c r="AG106" s="1411">
        <f t="shared" si="374"/>
        <v>0</v>
      </c>
      <c r="AH106" s="1411">
        <f t="shared" si="374"/>
        <v>0</v>
      </c>
      <c r="AI106" s="1411">
        <f t="shared" ref="AI106:BN106" si="375">IF(AI16="Orlov",0,AI40*AI13)</f>
        <v>0</v>
      </c>
      <c r="AJ106" s="1411">
        <f t="shared" si="375"/>
        <v>0</v>
      </c>
      <c r="AK106" s="1411">
        <f t="shared" si="375"/>
        <v>0</v>
      </c>
      <c r="AL106" s="1411">
        <f t="shared" si="375"/>
        <v>0</v>
      </c>
      <c r="AM106" s="1411">
        <f t="shared" si="375"/>
        <v>0</v>
      </c>
      <c r="AN106" s="1411">
        <f t="shared" si="375"/>
        <v>0</v>
      </c>
      <c r="AO106" s="1411">
        <f t="shared" si="375"/>
        <v>0</v>
      </c>
      <c r="AP106" s="1411">
        <f t="shared" si="375"/>
        <v>0</v>
      </c>
      <c r="AQ106" s="1411">
        <f t="shared" si="375"/>
        <v>0</v>
      </c>
      <c r="AR106" s="1411">
        <f t="shared" si="375"/>
        <v>0</v>
      </c>
      <c r="AS106" s="1411">
        <f t="shared" si="375"/>
        <v>0</v>
      </c>
      <c r="AT106" s="1411">
        <f t="shared" si="375"/>
        <v>0</v>
      </c>
      <c r="AU106" s="1411">
        <f t="shared" si="375"/>
        <v>0</v>
      </c>
      <c r="AV106" s="1411">
        <f t="shared" si="375"/>
        <v>0</v>
      </c>
      <c r="AW106" s="1411">
        <f t="shared" si="375"/>
        <v>0</v>
      </c>
      <c r="AX106" s="1411">
        <f t="shared" si="375"/>
        <v>0</v>
      </c>
      <c r="AY106" s="1411">
        <f t="shared" si="375"/>
        <v>0</v>
      </c>
      <c r="AZ106" s="1411">
        <f t="shared" si="375"/>
        <v>0</v>
      </c>
      <c r="BA106" s="1411">
        <f t="shared" si="375"/>
        <v>0</v>
      </c>
      <c r="BB106" s="1411">
        <f t="shared" si="375"/>
        <v>0</v>
      </c>
      <c r="BC106" s="1411">
        <f t="shared" si="375"/>
        <v>0</v>
      </c>
      <c r="BD106" s="1411">
        <f t="shared" si="375"/>
        <v>0</v>
      </c>
      <c r="BE106" s="1411">
        <f t="shared" si="375"/>
        <v>0</v>
      </c>
      <c r="BF106" s="1411">
        <f t="shared" si="375"/>
        <v>0</v>
      </c>
      <c r="BG106" s="1411">
        <f t="shared" si="375"/>
        <v>0</v>
      </c>
      <c r="BH106" s="1411">
        <f t="shared" si="375"/>
        <v>0</v>
      </c>
      <c r="BI106" s="1411">
        <f t="shared" si="375"/>
        <v>0</v>
      </c>
      <c r="BJ106" s="1411">
        <f t="shared" si="375"/>
        <v>0</v>
      </c>
      <c r="BK106" s="1411">
        <f t="shared" si="375"/>
        <v>0</v>
      </c>
      <c r="BL106" s="1411">
        <f t="shared" si="375"/>
        <v>0</v>
      </c>
      <c r="BM106" s="1411">
        <f t="shared" si="375"/>
        <v>0</v>
      </c>
      <c r="BN106" s="1411">
        <f t="shared" si="375"/>
        <v>0</v>
      </c>
      <c r="BO106" s="1411">
        <f t="shared" ref="BO106:CG106" si="376">IF(BO16="Orlov",0,BO40*BO13)</f>
        <v>0</v>
      </c>
      <c r="BP106" s="1411">
        <f t="shared" si="376"/>
        <v>0</v>
      </c>
      <c r="BQ106" s="1411">
        <f t="shared" si="376"/>
        <v>0</v>
      </c>
      <c r="BR106" s="1411">
        <f t="shared" si="376"/>
        <v>0</v>
      </c>
      <c r="BS106" s="1411">
        <f t="shared" si="376"/>
        <v>0</v>
      </c>
      <c r="BT106" s="1411">
        <f t="shared" si="376"/>
        <v>0</v>
      </c>
      <c r="BU106" s="1411">
        <f t="shared" si="376"/>
        <v>0</v>
      </c>
      <c r="BV106" s="1411">
        <f t="shared" si="376"/>
        <v>0</v>
      </c>
      <c r="BW106" s="1411">
        <f t="shared" si="376"/>
        <v>0</v>
      </c>
      <c r="BX106" s="1411">
        <f t="shared" si="376"/>
        <v>0</v>
      </c>
      <c r="BY106" s="1411">
        <f t="shared" si="376"/>
        <v>0</v>
      </c>
      <c r="BZ106" s="1411">
        <f t="shared" si="376"/>
        <v>0</v>
      </c>
      <c r="CA106" s="1411">
        <f t="shared" si="376"/>
        <v>0</v>
      </c>
      <c r="CB106" s="1411">
        <f t="shared" si="376"/>
        <v>0</v>
      </c>
      <c r="CC106" s="1411">
        <f t="shared" si="376"/>
        <v>0</v>
      </c>
      <c r="CD106" s="1411">
        <f t="shared" si="376"/>
        <v>0</v>
      </c>
      <c r="CE106" s="1411">
        <f t="shared" si="376"/>
        <v>0</v>
      </c>
      <c r="CF106" s="1411">
        <f t="shared" si="376"/>
        <v>0</v>
      </c>
      <c r="CG106" s="1411">
        <f t="shared" si="376"/>
        <v>0</v>
      </c>
    </row>
    <row r="107" spans="1:85">
      <c r="A107" s="1586"/>
      <c r="B107" s="1411" t="s">
        <v>1417</v>
      </c>
      <c r="C107" s="1411">
        <f>C59*C13</f>
        <v>0</v>
      </c>
      <c r="D107" s="1411">
        <f t="shared" ref="D107:BO107" si="377">D59*D13</f>
        <v>0</v>
      </c>
      <c r="E107" s="1411">
        <f t="shared" si="377"/>
        <v>0</v>
      </c>
      <c r="F107" s="1411">
        <f t="shared" si="377"/>
        <v>0</v>
      </c>
      <c r="G107" s="1411">
        <f t="shared" si="377"/>
        <v>0</v>
      </c>
      <c r="H107" s="1411">
        <f t="shared" si="377"/>
        <v>0</v>
      </c>
      <c r="I107" s="1411">
        <f t="shared" si="377"/>
        <v>0</v>
      </c>
      <c r="J107" s="1411">
        <f t="shared" si="377"/>
        <v>0</v>
      </c>
      <c r="K107" s="1411">
        <f t="shared" si="377"/>
        <v>0</v>
      </c>
      <c r="L107" s="1411">
        <f t="shared" si="377"/>
        <v>0</v>
      </c>
      <c r="M107" s="1411">
        <f t="shared" si="377"/>
        <v>0</v>
      </c>
      <c r="N107" s="1411">
        <f>N59*N13</f>
        <v>0</v>
      </c>
      <c r="O107" s="1411">
        <f t="shared" si="377"/>
        <v>0</v>
      </c>
      <c r="P107" s="1411">
        <f t="shared" si="377"/>
        <v>0</v>
      </c>
      <c r="Q107" s="1411">
        <f t="shared" si="377"/>
        <v>0</v>
      </c>
      <c r="R107" s="1411">
        <f t="shared" si="377"/>
        <v>0</v>
      </c>
      <c r="S107" s="1411">
        <f t="shared" si="377"/>
        <v>0</v>
      </c>
      <c r="T107" s="1411">
        <f t="shared" si="377"/>
        <v>0</v>
      </c>
      <c r="U107" s="1411">
        <f t="shared" si="377"/>
        <v>0</v>
      </c>
      <c r="V107" s="1411">
        <f t="shared" si="377"/>
        <v>0</v>
      </c>
      <c r="W107" s="1411">
        <f t="shared" si="377"/>
        <v>0</v>
      </c>
      <c r="X107" s="1411">
        <f t="shared" si="377"/>
        <v>0</v>
      </c>
      <c r="Y107" s="1411">
        <f>Y59*Y13</f>
        <v>0</v>
      </c>
      <c r="Z107" s="1411">
        <f t="shared" si="377"/>
        <v>0</v>
      </c>
      <c r="AA107" s="1411">
        <f t="shared" si="377"/>
        <v>0</v>
      </c>
      <c r="AB107" s="1411">
        <f t="shared" si="377"/>
        <v>0</v>
      </c>
      <c r="AC107" s="1411">
        <f t="shared" si="377"/>
        <v>0</v>
      </c>
      <c r="AD107" s="1411">
        <f t="shared" si="377"/>
        <v>0</v>
      </c>
      <c r="AE107" s="1411">
        <f t="shared" si="377"/>
        <v>0</v>
      </c>
      <c r="AF107" s="1411">
        <f t="shared" si="377"/>
        <v>0</v>
      </c>
      <c r="AG107" s="1411">
        <f>AG59*AG13</f>
        <v>0</v>
      </c>
      <c r="AH107" s="1411">
        <f t="shared" si="377"/>
        <v>0</v>
      </c>
      <c r="AI107" s="1411">
        <f t="shared" si="377"/>
        <v>0</v>
      </c>
      <c r="AJ107" s="1411">
        <f t="shared" si="377"/>
        <v>0</v>
      </c>
      <c r="AK107" s="1411">
        <f t="shared" si="377"/>
        <v>0</v>
      </c>
      <c r="AL107" s="1411">
        <f t="shared" si="377"/>
        <v>0</v>
      </c>
      <c r="AM107" s="1411">
        <f t="shared" si="377"/>
        <v>0</v>
      </c>
      <c r="AN107" s="1411">
        <f t="shared" si="377"/>
        <v>0</v>
      </c>
      <c r="AO107" s="1411">
        <f t="shared" si="377"/>
        <v>0</v>
      </c>
      <c r="AP107" s="1411">
        <f t="shared" si="377"/>
        <v>0</v>
      </c>
      <c r="AQ107" s="1411">
        <f t="shared" si="377"/>
        <v>0</v>
      </c>
      <c r="AR107" s="1411">
        <f t="shared" si="377"/>
        <v>0</v>
      </c>
      <c r="AS107" s="1411">
        <f t="shared" si="377"/>
        <v>0</v>
      </c>
      <c r="AT107" s="1411">
        <f t="shared" si="377"/>
        <v>0</v>
      </c>
      <c r="AU107" s="1411">
        <f t="shared" si="377"/>
        <v>0</v>
      </c>
      <c r="AV107" s="1411">
        <f t="shared" si="377"/>
        <v>0</v>
      </c>
      <c r="AW107" s="1411">
        <f t="shared" si="377"/>
        <v>0</v>
      </c>
      <c r="AX107" s="1411">
        <f t="shared" si="377"/>
        <v>0</v>
      </c>
      <c r="AY107" s="1411">
        <f t="shared" si="377"/>
        <v>0</v>
      </c>
      <c r="AZ107" s="1411">
        <f t="shared" si="377"/>
        <v>0</v>
      </c>
      <c r="BA107" s="1411">
        <f t="shared" si="377"/>
        <v>0</v>
      </c>
      <c r="BB107" s="1411">
        <f t="shared" si="377"/>
        <v>0</v>
      </c>
      <c r="BC107" s="1411">
        <f t="shared" si="377"/>
        <v>0</v>
      </c>
      <c r="BD107" s="1411">
        <f t="shared" si="377"/>
        <v>0</v>
      </c>
      <c r="BE107" s="1411">
        <f t="shared" si="377"/>
        <v>0</v>
      </c>
      <c r="BF107" s="1411">
        <f t="shared" si="377"/>
        <v>0</v>
      </c>
      <c r="BG107" s="1411">
        <f t="shared" si="377"/>
        <v>0</v>
      </c>
      <c r="BH107" s="1411">
        <f t="shared" si="377"/>
        <v>0</v>
      </c>
      <c r="BI107" s="1411">
        <f t="shared" si="377"/>
        <v>0</v>
      </c>
      <c r="BJ107" s="1411">
        <f t="shared" si="377"/>
        <v>0</v>
      </c>
      <c r="BK107" s="1411">
        <f t="shared" si="377"/>
        <v>0</v>
      </c>
      <c r="BL107" s="1411">
        <f t="shared" si="377"/>
        <v>0</v>
      </c>
      <c r="BM107" s="1411">
        <f t="shared" si="377"/>
        <v>0</v>
      </c>
      <c r="BN107" s="1411">
        <f t="shared" si="377"/>
        <v>0</v>
      </c>
      <c r="BO107" s="1411">
        <f t="shared" si="377"/>
        <v>0</v>
      </c>
      <c r="BP107" s="1411">
        <f t="shared" ref="BP107:CG107" si="378">BP59*BP13</f>
        <v>0</v>
      </c>
      <c r="BQ107" s="1411">
        <f t="shared" si="378"/>
        <v>0</v>
      </c>
      <c r="BR107" s="1411">
        <f t="shared" si="378"/>
        <v>0</v>
      </c>
      <c r="BS107" s="1411">
        <f t="shared" si="378"/>
        <v>0</v>
      </c>
      <c r="BT107" s="1411">
        <f t="shared" si="378"/>
        <v>0</v>
      </c>
      <c r="BU107" s="1411">
        <f t="shared" si="378"/>
        <v>0</v>
      </c>
      <c r="BV107" s="1411">
        <f t="shared" si="378"/>
        <v>0</v>
      </c>
      <c r="BW107" s="1411">
        <f t="shared" si="378"/>
        <v>0</v>
      </c>
      <c r="BX107" s="1411">
        <f t="shared" si="378"/>
        <v>0</v>
      </c>
      <c r="BY107" s="1411">
        <f t="shared" si="378"/>
        <v>0</v>
      </c>
      <c r="BZ107" s="1411">
        <f t="shared" si="378"/>
        <v>0</v>
      </c>
      <c r="CA107" s="1411">
        <f t="shared" si="378"/>
        <v>0</v>
      </c>
      <c r="CB107" s="1411">
        <f t="shared" si="378"/>
        <v>0</v>
      </c>
      <c r="CC107" s="1411">
        <f t="shared" si="378"/>
        <v>0</v>
      </c>
      <c r="CD107" s="1411">
        <f t="shared" si="378"/>
        <v>0</v>
      </c>
      <c r="CE107" s="1411">
        <f t="shared" si="378"/>
        <v>0</v>
      </c>
      <c r="CF107" s="1411">
        <f t="shared" si="378"/>
        <v>0</v>
      </c>
      <c r="CG107" s="1411">
        <f t="shared" si="378"/>
        <v>0</v>
      </c>
    </row>
    <row r="108" spans="1:85">
      <c r="A108" s="1586"/>
      <c r="B108" s="1411" t="s">
        <v>1386</v>
      </c>
      <c r="C108" s="1411">
        <f t="shared" ref="C108:G108" si="379">IF(AND(C16="Nej",C18="Ja"),(C27+C37+C38+C39)*0.8%*C13,0)</f>
        <v>0</v>
      </c>
      <c r="D108" s="1411">
        <f t="shared" si="379"/>
        <v>0</v>
      </c>
      <c r="E108" s="1411">
        <f t="shared" si="379"/>
        <v>0</v>
      </c>
      <c r="F108" s="1411">
        <f t="shared" si="379"/>
        <v>0</v>
      </c>
      <c r="G108" s="1411">
        <f t="shared" si="379"/>
        <v>0</v>
      </c>
      <c r="H108" s="1411">
        <f>IF(AND(H16="Nej",H18="Ja"),(H27+H37+H38+H39)*0.8%*H13,0)</f>
        <v>0</v>
      </c>
      <c r="I108" s="1411">
        <f t="shared" ref="I108:BT108" si="380">IF(AND(I16="Nej",I18="Ja"),(I27+I37+I38+I39)*0.8%*I13,0)</f>
        <v>0</v>
      </c>
      <c r="J108" s="1411">
        <f t="shared" si="380"/>
        <v>0</v>
      </c>
      <c r="K108" s="1411">
        <f t="shared" si="380"/>
        <v>0</v>
      </c>
      <c r="L108" s="1411">
        <f t="shared" si="380"/>
        <v>0</v>
      </c>
      <c r="M108" s="1411">
        <f t="shared" si="380"/>
        <v>0</v>
      </c>
      <c r="N108" s="1411">
        <f t="shared" si="380"/>
        <v>0</v>
      </c>
      <c r="O108" s="1411">
        <f t="shared" si="380"/>
        <v>0</v>
      </c>
      <c r="P108" s="1411">
        <f t="shared" si="380"/>
        <v>0</v>
      </c>
      <c r="Q108" s="1411">
        <f t="shared" si="380"/>
        <v>0</v>
      </c>
      <c r="R108" s="1411">
        <f t="shared" si="380"/>
        <v>0</v>
      </c>
      <c r="S108" s="1411">
        <f t="shared" si="380"/>
        <v>0</v>
      </c>
      <c r="T108" s="1411">
        <f t="shared" si="380"/>
        <v>0</v>
      </c>
      <c r="U108" s="1411">
        <f t="shared" si="380"/>
        <v>0</v>
      </c>
      <c r="V108" s="1411">
        <f t="shared" si="380"/>
        <v>0</v>
      </c>
      <c r="W108" s="1411">
        <f t="shared" si="380"/>
        <v>0</v>
      </c>
      <c r="X108" s="1411">
        <f t="shared" si="380"/>
        <v>0</v>
      </c>
      <c r="Y108" s="1411">
        <f t="shared" si="380"/>
        <v>0</v>
      </c>
      <c r="Z108" s="1411">
        <f t="shared" si="380"/>
        <v>0</v>
      </c>
      <c r="AA108" s="1411">
        <f t="shared" si="380"/>
        <v>0</v>
      </c>
      <c r="AB108" s="1411">
        <f t="shared" si="380"/>
        <v>0</v>
      </c>
      <c r="AC108" s="1411">
        <f t="shared" si="380"/>
        <v>0</v>
      </c>
      <c r="AD108" s="1411">
        <f t="shared" si="380"/>
        <v>0</v>
      </c>
      <c r="AE108" s="1411">
        <f t="shared" si="380"/>
        <v>0</v>
      </c>
      <c r="AF108" s="1411">
        <f t="shared" si="380"/>
        <v>0</v>
      </c>
      <c r="AG108" s="1411">
        <f t="shared" si="380"/>
        <v>0</v>
      </c>
      <c r="AH108" s="1411">
        <f t="shared" si="380"/>
        <v>0</v>
      </c>
      <c r="AI108" s="1411">
        <f t="shared" si="380"/>
        <v>0</v>
      </c>
      <c r="AJ108" s="1411">
        <f t="shared" si="380"/>
        <v>0</v>
      </c>
      <c r="AK108" s="1411">
        <f t="shared" si="380"/>
        <v>0</v>
      </c>
      <c r="AL108" s="1411">
        <f t="shared" si="380"/>
        <v>0</v>
      </c>
      <c r="AM108" s="1411">
        <f t="shared" si="380"/>
        <v>0</v>
      </c>
      <c r="AN108" s="1411">
        <f t="shared" si="380"/>
        <v>0</v>
      </c>
      <c r="AO108" s="1411">
        <f t="shared" si="380"/>
        <v>0</v>
      </c>
      <c r="AP108" s="1411">
        <f t="shared" si="380"/>
        <v>0</v>
      </c>
      <c r="AQ108" s="1411">
        <f t="shared" si="380"/>
        <v>0</v>
      </c>
      <c r="AR108" s="1411">
        <f t="shared" si="380"/>
        <v>0</v>
      </c>
      <c r="AS108" s="1411">
        <f t="shared" si="380"/>
        <v>0</v>
      </c>
      <c r="AT108" s="1411">
        <f t="shared" si="380"/>
        <v>0</v>
      </c>
      <c r="AU108" s="1411">
        <f t="shared" si="380"/>
        <v>0</v>
      </c>
      <c r="AV108" s="1411">
        <f t="shared" si="380"/>
        <v>0</v>
      </c>
      <c r="AW108" s="1411">
        <f t="shared" si="380"/>
        <v>0</v>
      </c>
      <c r="AX108" s="1411">
        <f t="shared" si="380"/>
        <v>0</v>
      </c>
      <c r="AY108" s="1411">
        <f t="shared" si="380"/>
        <v>0</v>
      </c>
      <c r="AZ108" s="1411">
        <f t="shared" si="380"/>
        <v>0</v>
      </c>
      <c r="BA108" s="1411">
        <f t="shared" si="380"/>
        <v>0</v>
      </c>
      <c r="BB108" s="1411">
        <f t="shared" si="380"/>
        <v>0</v>
      </c>
      <c r="BC108" s="1411">
        <f t="shared" si="380"/>
        <v>0</v>
      </c>
      <c r="BD108" s="1411">
        <f t="shared" si="380"/>
        <v>0</v>
      </c>
      <c r="BE108" s="1411">
        <f t="shared" si="380"/>
        <v>0</v>
      </c>
      <c r="BF108" s="1411">
        <f t="shared" si="380"/>
        <v>0</v>
      </c>
      <c r="BG108" s="1411">
        <f t="shared" si="380"/>
        <v>0</v>
      </c>
      <c r="BH108" s="1411">
        <f t="shared" si="380"/>
        <v>0</v>
      </c>
      <c r="BI108" s="1411">
        <f t="shared" si="380"/>
        <v>0</v>
      </c>
      <c r="BJ108" s="1411">
        <f t="shared" si="380"/>
        <v>0</v>
      </c>
      <c r="BK108" s="1411">
        <f t="shared" si="380"/>
        <v>0</v>
      </c>
      <c r="BL108" s="1411">
        <f t="shared" si="380"/>
        <v>0</v>
      </c>
      <c r="BM108" s="1411">
        <f t="shared" si="380"/>
        <v>0</v>
      </c>
      <c r="BN108" s="1411">
        <f t="shared" si="380"/>
        <v>0</v>
      </c>
      <c r="BO108" s="1411">
        <f t="shared" si="380"/>
        <v>0</v>
      </c>
      <c r="BP108" s="1411">
        <f t="shared" si="380"/>
        <v>0</v>
      </c>
      <c r="BQ108" s="1411">
        <f t="shared" si="380"/>
        <v>0</v>
      </c>
      <c r="BR108" s="1411">
        <f t="shared" si="380"/>
        <v>0</v>
      </c>
      <c r="BS108" s="1411">
        <f t="shared" si="380"/>
        <v>0</v>
      </c>
      <c r="BT108" s="1411">
        <f t="shared" si="380"/>
        <v>0</v>
      </c>
      <c r="BU108" s="1411">
        <f t="shared" ref="BU108:CG108" si="381">IF(AND(BU16="Nej",BU18="Ja"),(BU27+BU37+BU38+BU39)*0.8%*BU13,0)</f>
        <v>0</v>
      </c>
      <c r="BV108" s="1411">
        <f t="shared" si="381"/>
        <v>0</v>
      </c>
      <c r="BW108" s="1411">
        <f t="shared" si="381"/>
        <v>0</v>
      </c>
      <c r="BX108" s="1411">
        <f t="shared" si="381"/>
        <v>0</v>
      </c>
      <c r="BY108" s="1411">
        <f t="shared" si="381"/>
        <v>0</v>
      </c>
      <c r="BZ108" s="1411">
        <f t="shared" si="381"/>
        <v>0</v>
      </c>
      <c r="CA108" s="1411">
        <f>IF(AND(CA16="Nej",CA18="Ja"),(CA27+CA37+CA38+CA39)*0.8%*CA13,0)</f>
        <v>0</v>
      </c>
      <c r="CB108" s="1411">
        <f t="shared" si="381"/>
        <v>0</v>
      </c>
      <c r="CC108" s="1411">
        <f t="shared" si="381"/>
        <v>0</v>
      </c>
      <c r="CD108" s="1411">
        <f t="shared" si="381"/>
        <v>0</v>
      </c>
      <c r="CE108" s="1411">
        <f t="shared" si="381"/>
        <v>0</v>
      </c>
      <c r="CF108" s="1411">
        <f t="shared" si="381"/>
        <v>0</v>
      </c>
      <c r="CG108" s="1411">
        <f t="shared" si="381"/>
        <v>0</v>
      </c>
    </row>
    <row r="109" spans="1:85">
      <c r="A109" s="1586"/>
      <c r="B109" s="1411" t="s">
        <v>738</v>
      </c>
      <c r="C109" s="1811">
        <f t="shared" ref="C109:AH109" si="382">C45*C13-IF(C21="nej",(C42+C43)*C13)</f>
        <v>0</v>
      </c>
      <c r="D109" s="1811">
        <f t="shared" si="382"/>
        <v>0</v>
      </c>
      <c r="E109" s="1811">
        <f t="shared" si="382"/>
        <v>0</v>
      </c>
      <c r="F109" s="1811">
        <f t="shared" si="382"/>
        <v>0</v>
      </c>
      <c r="G109" s="1811">
        <f t="shared" si="382"/>
        <v>0</v>
      </c>
      <c r="H109" s="1811">
        <f t="shared" si="382"/>
        <v>0</v>
      </c>
      <c r="I109" s="1811">
        <f t="shared" si="382"/>
        <v>0</v>
      </c>
      <c r="J109" s="1811">
        <f t="shared" si="382"/>
        <v>0</v>
      </c>
      <c r="K109" s="1811">
        <f t="shared" si="382"/>
        <v>0</v>
      </c>
      <c r="L109" s="1811">
        <f t="shared" si="382"/>
        <v>0</v>
      </c>
      <c r="M109" s="1811">
        <f t="shared" si="382"/>
        <v>0</v>
      </c>
      <c r="N109" s="1811">
        <f t="shared" si="382"/>
        <v>0</v>
      </c>
      <c r="O109" s="1811">
        <f t="shared" si="382"/>
        <v>0</v>
      </c>
      <c r="P109" s="1811">
        <f t="shared" si="382"/>
        <v>0</v>
      </c>
      <c r="Q109" s="1811">
        <f t="shared" si="382"/>
        <v>0</v>
      </c>
      <c r="R109" s="1811">
        <f t="shared" si="382"/>
        <v>0</v>
      </c>
      <c r="S109" s="1811">
        <f t="shared" si="382"/>
        <v>0</v>
      </c>
      <c r="T109" s="1811">
        <f t="shared" si="382"/>
        <v>0</v>
      </c>
      <c r="U109" s="1811">
        <f t="shared" si="382"/>
        <v>0</v>
      </c>
      <c r="V109" s="1811">
        <f t="shared" si="382"/>
        <v>0</v>
      </c>
      <c r="W109" s="1811">
        <f t="shared" si="382"/>
        <v>0</v>
      </c>
      <c r="X109" s="1811">
        <f t="shared" si="382"/>
        <v>0</v>
      </c>
      <c r="Y109" s="1811">
        <f t="shared" si="382"/>
        <v>0</v>
      </c>
      <c r="Z109" s="1811">
        <f t="shared" si="382"/>
        <v>0</v>
      </c>
      <c r="AA109" s="1811">
        <f t="shared" si="382"/>
        <v>0</v>
      </c>
      <c r="AB109" s="1811">
        <f t="shared" si="382"/>
        <v>0</v>
      </c>
      <c r="AC109" s="1811">
        <f t="shared" si="382"/>
        <v>0</v>
      </c>
      <c r="AD109" s="1811">
        <f t="shared" si="382"/>
        <v>0</v>
      </c>
      <c r="AE109" s="1811">
        <f t="shared" si="382"/>
        <v>0</v>
      </c>
      <c r="AF109" s="1811">
        <f t="shared" si="382"/>
        <v>0</v>
      </c>
      <c r="AG109" s="1811">
        <f t="shared" si="382"/>
        <v>0</v>
      </c>
      <c r="AH109" s="1811">
        <f t="shared" si="382"/>
        <v>0</v>
      </c>
      <c r="AI109" s="1811">
        <f t="shared" ref="AI109:BN109" si="383">AI45*AI13-IF(AI21="nej",(AI42+AI43)*AI13)</f>
        <v>0</v>
      </c>
      <c r="AJ109" s="1811">
        <f t="shared" si="383"/>
        <v>0</v>
      </c>
      <c r="AK109" s="1811">
        <f t="shared" si="383"/>
        <v>0</v>
      </c>
      <c r="AL109" s="1811">
        <f t="shared" si="383"/>
        <v>0</v>
      </c>
      <c r="AM109" s="1811">
        <f t="shared" si="383"/>
        <v>0</v>
      </c>
      <c r="AN109" s="1811">
        <f t="shared" si="383"/>
        <v>0</v>
      </c>
      <c r="AO109" s="1811">
        <f t="shared" si="383"/>
        <v>0</v>
      </c>
      <c r="AP109" s="1811">
        <f t="shared" si="383"/>
        <v>0</v>
      </c>
      <c r="AQ109" s="1811">
        <f t="shared" si="383"/>
        <v>0</v>
      </c>
      <c r="AR109" s="1811">
        <f t="shared" si="383"/>
        <v>0</v>
      </c>
      <c r="AS109" s="1811">
        <f t="shared" si="383"/>
        <v>0</v>
      </c>
      <c r="AT109" s="1811">
        <f t="shared" si="383"/>
        <v>0</v>
      </c>
      <c r="AU109" s="1811">
        <f t="shared" si="383"/>
        <v>0</v>
      </c>
      <c r="AV109" s="1811">
        <f t="shared" si="383"/>
        <v>0</v>
      </c>
      <c r="AW109" s="1811">
        <f t="shared" si="383"/>
        <v>0</v>
      </c>
      <c r="AX109" s="1811">
        <f t="shared" si="383"/>
        <v>0</v>
      </c>
      <c r="AY109" s="1811">
        <f t="shared" si="383"/>
        <v>0</v>
      </c>
      <c r="AZ109" s="1811">
        <f t="shared" si="383"/>
        <v>0</v>
      </c>
      <c r="BA109" s="1811">
        <f t="shared" si="383"/>
        <v>0</v>
      </c>
      <c r="BB109" s="1811">
        <f t="shared" si="383"/>
        <v>0</v>
      </c>
      <c r="BC109" s="1811">
        <f t="shared" si="383"/>
        <v>0</v>
      </c>
      <c r="BD109" s="1811">
        <f t="shared" si="383"/>
        <v>0</v>
      </c>
      <c r="BE109" s="1811">
        <f t="shared" si="383"/>
        <v>0</v>
      </c>
      <c r="BF109" s="1811">
        <f t="shared" si="383"/>
        <v>0</v>
      </c>
      <c r="BG109" s="1811">
        <f t="shared" si="383"/>
        <v>0</v>
      </c>
      <c r="BH109" s="1811">
        <f t="shared" si="383"/>
        <v>0</v>
      </c>
      <c r="BI109" s="1811">
        <f t="shared" si="383"/>
        <v>0</v>
      </c>
      <c r="BJ109" s="1811">
        <f t="shared" si="383"/>
        <v>0</v>
      </c>
      <c r="BK109" s="1811">
        <f t="shared" si="383"/>
        <v>0</v>
      </c>
      <c r="BL109" s="1811">
        <f t="shared" si="383"/>
        <v>0</v>
      </c>
      <c r="BM109" s="1811">
        <f t="shared" si="383"/>
        <v>0</v>
      </c>
      <c r="BN109" s="1811">
        <f t="shared" si="383"/>
        <v>0</v>
      </c>
      <c r="BO109" s="1811">
        <f t="shared" ref="BO109:CG109" si="384">BO45*BO13-IF(BO21="nej",(BO42+BO43)*BO13)</f>
        <v>0</v>
      </c>
      <c r="BP109" s="1811">
        <f t="shared" si="384"/>
        <v>0</v>
      </c>
      <c r="BQ109" s="1811">
        <f t="shared" si="384"/>
        <v>0</v>
      </c>
      <c r="BR109" s="1811">
        <f t="shared" si="384"/>
        <v>0</v>
      </c>
      <c r="BS109" s="1811">
        <f t="shared" si="384"/>
        <v>0</v>
      </c>
      <c r="BT109" s="1811">
        <f t="shared" si="384"/>
        <v>0</v>
      </c>
      <c r="BU109" s="1811">
        <f t="shared" si="384"/>
        <v>0</v>
      </c>
      <c r="BV109" s="1811">
        <f t="shared" si="384"/>
        <v>0</v>
      </c>
      <c r="BW109" s="1811">
        <f t="shared" si="384"/>
        <v>0</v>
      </c>
      <c r="BX109" s="1811">
        <f t="shared" si="384"/>
        <v>0</v>
      </c>
      <c r="BY109" s="1811">
        <f t="shared" si="384"/>
        <v>0</v>
      </c>
      <c r="BZ109" s="1811">
        <f t="shared" si="384"/>
        <v>0</v>
      </c>
      <c r="CA109" s="1811">
        <f t="shared" si="384"/>
        <v>0</v>
      </c>
      <c r="CB109" s="1811">
        <f t="shared" si="384"/>
        <v>0</v>
      </c>
      <c r="CC109" s="1811">
        <f t="shared" si="384"/>
        <v>0</v>
      </c>
      <c r="CD109" s="1811">
        <f t="shared" si="384"/>
        <v>0</v>
      </c>
      <c r="CE109" s="1811">
        <f t="shared" si="384"/>
        <v>0</v>
      </c>
      <c r="CF109" s="1811">
        <f t="shared" si="384"/>
        <v>0</v>
      </c>
      <c r="CG109" s="1811">
        <f t="shared" si="384"/>
        <v>0</v>
      </c>
    </row>
    <row r="110" spans="1:85">
      <c r="A110" s="1586"/>
      <c r="B110" s="1411" t="s">
        <v>699</v>
      </c>
      <c r="C110" s="1411">
        <f t="shared" ref="C110:AH110" si="385">IF(C16="Orlov",0,C46/3*2*C13)</f>
        <v>0</v>
      </c>
      <c r="D110" s="1411">
        <f t="shared" si="385"/>
        <v>0</v>
      </c>
      <c r="E110" s="1411">
        <f t="shared" si="385"/>
        <v>0</v>
      </c>
      <c r="F110" s="1411">
        <f t="shared" si="385"/>
        <v>0</v>
      </c>
      <c r="G110" s="1411">
        <f t="shared" si="385"/>
        <v>0</v>
      </c>
      <c r="H110" s="1411">
        <f t="shared" si="385"/>
        <v>0</v>
      </c>
      <c r="I110" s="1411">
        <f t="shared" si="385"/>
        <v>0</v>
      </c>
      <c r="J110" s="1411">
        <f t="shared" si="385"/>
        <v>0</v>
      </c>
      <c r="K110" s="1411">
        <f t="shared" si="385"/>
        <v>0</v>
      </c>
      <c r="L110" s="1411">
        <f t="shared" si="385"/>
        <v>0</v>
      </c>
      <c r="M110" s="1411">
        <f t="shared" si="385"/>
        <v>0</v>
      </c>
      <c r="N110" s="1411">
        <f t="shared" si="385"/>
        <v>0</v>
      </c>
      <c r="O110" s="1411">
        <f t="shared" si="385"/>
        <v>0</v>
      </c>
      <c r="P110" s="1411">
        <f t="shared" si="385"/>
        <v>0</v>
      </c>
      <c r="Q110" s="1411">
        <f t="shared" si="385"/>
        <v>0</v>
      </c>
      <c r="R110" s="1411">
        <f t="shared" si="385"/>
        <v>0</v>
      </c>
      <c r="S110" s="1411">
        <f t="shared" si="385"/>
        <v>0</v>
      </c>
      <c r="T110" s="1411">
        <f t="shared" si="385"/>
        <v>0</v>
      </c>
      <c r="U110" s="1411">
        <f t="shared" si="385"/>
        <v>0</v>
      </c>
      <c r="V110" s="1411">
        <f t="shared" si="385"/>
        <v>0</v>
      </c>
      <c r="W110" s="1411">
        <f t="shared" si="385"/>
        <v>0</v>
      </c>
      <c r="X110" s="1411">
        <f t="shared" si="385"/>
        <v>0</v>
      </c>
      <c r="Y110" s="1411">
        <f t="shared" si="385"/>
        <v>0</v>
      </c>
      <c r="Z110" s="1411">
        <f t="shared" si="385"/>
        <v>0</v>
      </c>
      <c r="AA110" s="1411">
        <f t="shared" si="385"/>
        <v>0</v>
      </c>
      <c r="AB110" s="1411">
        <f t="shared" si="385"/>
        <v>0</v>
      </c>
      <c r="AC110" s="1411">
        <f t="shared" si="385"/>
        <v>0</v>
      </c>
      <c r="AD110" s="1411">
        <f t="shared" si="385"/>
        <v>0</v>
      </c>
      <c r="AE110" s="1411">
        <f t="shared" si="385"/>
        <v>0</v>
      </c>
      <c r="AF110" s="1411">
        <f t="shared" si="385"/>
        <v>0</v>
      </c>
      <c r="AG110" s="1411">
        <f t="shared" si="385"/>
        <v>0</v>
      </c>
      <c r="AH110" s="1411">
        <f t="shared" si="385"/>
        <v>0</v>
      </c>
      <c r="AI110" s="1411">
        <f t="shared" ref="AI110:BN110" si="386">IF(AI16="Orlov",0,AI46/3*2*AI13)</f>
        <v>0</v>
      </c>
      <c r="AJ110" s="1411">
        <f t="shared" si="386"/>
        <v>0</v>
      </c>
      <c r="AK110" s="1411">
        <f t="shared" si="386"/>
        <v>0</v>
      </c>
      <c r="AL110" s="1411">
        <f t="shared" si="386"/>
        <v>0</v>
      </c>
      <c r="AM110" s="1411">
        <f t="shared" si="386"/>
        <v>0</v>
      </c>
      <c r="AN110" s="1411">
        <f t="shared" si="386"/>
        <v>0</v>
      </c>
      <c r="AO110" s="1411">
        <f t="shared" si="386"/>
        <v>0</v>
      </c>
      <c r="AP110" s="1411">
        <f t="shared" si="386"/>
        <v>0</v>
      </c>
      <c r="AQ110" s="1411">
        <f t="shared" si="386"/>
        <v>0</v>
      </c>
      <c r="AR110" s="1411">
        <f t="shared" si="386"/>
        <v>0</v>
      </c>
      <c r="AS110" s="1411">
        <f t="shared" si="386"/>
        <v>0</v>
      </c>
      <c r="AT110" s="1411">
        <f t="shared" si="386"/>
        <v>0</v>
      </c>
      <c r="AU110" s="1411">
        <f t="shared" si="386"/>
        <v>0</v>
      </c>
      <c r="AV110" s="1411">
        <f t="shared" si="386"/>
        <v>0</v>
      </c>
      <c r="AW110" s="1411">
        <f t="shared" si="386"/>
        <v>0</v>
      </c>
      <c r="AX110" s="1411">
        <f t="shared" si="386"/>
        <v>0</v>
      </c>
      <c r="AY110" s="1411">
        <f t="shared" si="386"/>
        <v>0</v>
      </c>
      <c r="AZ110" s="1411">
        <f t="shared" si="386"/>
        <v>0</v>
      </c>
      <c r="BA110" s="1411">
        <f t="shared" si="386"/>
        <v>0</v>
      </c>
      <c r="BB110" s="1411">
        <f t="shared" si="386"/>
        <v>0</v>
      </c>
      <c r="BC110" s="1411">
        <f t="shared" si="386"/>
        <v>0</v>
      </c>
      <c r="BD110" s="1411">
        <f t="shared" si="386"/>
        <v>0</v>
      </c>
      <c r="BE110" s="1411">
        <f t="shared" si="386"/>
        <v>0</v>
      </c>
      <c r="BF110" s="1411">
        <f t="shared" si="386"/>
        <v>0</v>
      </c>
      <c r="BG110" s="1411">
        <f t="shared" si="386"/>
        <v>0</v>
      </c>
      <c r="BH110" s="1411">
        <f t="shared" si="386"/>
        <v>0</v>
      </c>
      <c r="BI110" s="1411">
        <f t="shared" si="386"/>
        <v>0</v>
      </c>
      <c r="BJ110" s="1411">
        <f t="shared" si="386"/>
        <v>0</v>
      </c>
      <c r="BK110" s="1411">
        <f t="shared" si="386"/>
        <v>0</v>
      </c>
      <c r="BL110" s="1411">
        <f t="shared" si="386"/>
        <v>0</v>
      </c>
      <c r="BM110" s="1411">
        <f t="shared" si="386"/>
        <v>0</v>
      </c>
      <c r="BN110" s="1411">
        <f t="shared" si="386"/>
        <v>0</v>
      </c>
      <c r="BO110" s="1411">
        <f t="shared" ref="BO110:CG110" si="387">IF(BO16="Orlov",0,BO46/3*2*BO13)</f>
        <v>0</v>
      </c>
      <c r="BP110" s="1411">
        <f t="shared" si="387"/>
        <v>0</v>
      </c>
      <c r="BQ110" s="1411">
        <f t="shared" si="387"/>
        <v>0</v>
      </c>
      <c r="BR110" s="1411">
        <f t="shared" si="387"/>
        <v>0</v>
      </c>
      <c r="BS110" s="1411">
        <f t="shared" si="387"/>
        <v>0</v>
      </c>
      <c r="BT110" s="1411">
        <f t="shared" si="387"/>
        <v>0</v>
      </c>
      <c r="BU110" s="1411">
        <f t="shared" si="387"/>
        <v>0</v>
      </c>
      <c r="BV110" s="1411">
        <f t="shared" si="387"/>
        <v>0</v>
      </c>
      <c r="BW110" s="1411">
        <f t="shared" si="387"/>
        <v>0</v>
      </c>
      <c r="BX110" s="1411">
        <f t="shared" si="387"/>
        <v>0</v>
      </c>
      <c r="BY110" s="1411">
        <f t="shared" si="387"/>
        <v>0</v>
      </c>
      <c r="BZ110" s="1411">
        <f t="shared" si="387"/>
        <v>0</v>
      </c>
      <c r="CA110" s="1411">
        <f t="shared" si="387"/>
        <v>0</v>
      </c>
      <c r="CB110" s="1411">
        <f t="shared" si="387"/>
        <v>0</v>
      </c>
      <c r="CC110" s="1411">
        <f t="shared" si="387"/>
        <v>0</v>
      </c>
      <c r="CD110" s="1411">
        <f t="shared" si="387"/>
        <v>0</v>
      </c>
      <c r="CE110" s="1411">
        <f t="shared" si="387"/>
        <v>0</v>
      </c>
      <c r="CF110" s="1411">
        <f t="shared" si="387"/>
        <v>0</v>
      </c>
      <c r="CG110" s="1411">
        <f t="shared" si="387"/>
        <v>0</v>
      </c>
    </row>
    <row r="111" spans="1:85">
      <c r="A111" s="1586"/>
      <c r="B111" s="1411" t="s">
        <v>1384</v>
      </c>
      <c r="C111" s="1811">
        <f t="shared" ref="C111:AH111" si="388">C49</f>
        <v>0</v>
      </c>
      <c r="D111" s="1811">
        <f t="shared" si="388"/>
        <v>0</v>
      </c>
      <c r="E111" s="1811">
        <f t="shared" si="388"/>
        <v>0</v>
      </c>
      <c r="F111" s="1811">
        <f t="shared" si="388"/>
        <v>0</v>
      </c>
      <c r="G111" s="1811">
        <f t="shared" si="388"/>
        <v>0</v>
      </c>
      <c r="H111" s="1811">
        <f t="shared" si="388"/>
        <v>0</v>
      </c>
      <c r="I111" s="1811">
        <f t="shared" si="388"/>
        <v>0</v>
      </c>
      <c r="J111" s="1811">
        <f t="shared" si="388"/>
        <v>0</v>
      </c>
      <c r="K111" s="1811">
        <f t="shared" si="388"/>
        <v>0</v>
      </c>
      <c r="L111" s="1811">
        <f t="shared" si="388"/>
        <v>0</v>
      </c>
      <c r="M111" s="1811">
        <f t="shared" si="388"/>
        <v>0</v>
      </c>
      <c r="N111" s="1811">
        <f t="shared" si="388"/>
        <v>0</v>
      </c>
      <c r="O111" s="1811">
        <f t="shared" si="388"/>
        <v>0</v>
      </c>
      <c r="P111" s="1811">
        <f t="shared" si="388"/>
        <v>0</v>
      </c>
      <c r="Q111" s="1811">
        <f t="shared" si="388"/>
        <v>0</v>
      </c>
      <c r="R111" s="1811">
        <f t="shared" si="388"/>
        <v>0</v>
      </c>
      <c r="S111" s="1811">
        <f t="shared" si="388"/>
        <v>0</v>
      </c>
      <c r="T111" s="1811">
        <f t="shared" si="388"/>
        <v>0</v>
      </c>
      <c r="U111" s="1811">
        <f t="shared" si="388"/>
        <v>0</v>
      </c>
      <c r="V111" s="1811">
        <f t="shared" si="388"/>
        <v>0</v>
      </c>
      <c r="W111" s="1811">
        <f t="shared" si="388"/>
        <v>0</v>
      </c>
      <c r="X111" s="1811">
        <f t="shared" si="388"/>
        <v>0</v>
      </c>
      <c r="Y111" s="1811">
        <f t="shared" si="388"/>
        <v>0</v>
      </c>
      <c r="Z111" s="1811">
        <f t="shared" si="388"/>
        <v>0</v>
      </c>
      <c r="AA111" s="1811">
        <f t="shared" si="388"/>
        <v>0</v>
      </c>
      <c r="AB111" s="1811">
        <f t="shared" si="388"/>
        <v>0</v>
      </c>
      <c r="AC111" s="1811">
        <f t="shared" si="388"/>
        <v>0</v>
      </c>
      <c r="AD111" s="1811">
        <f t="shared" si="388"/>
        <v>0</v>
      </c>
      <c r="AE111" s="1811">
        <f t="shared" si="388"/>
        <v>0</v>
      </c>
      <c r="AF111" s="1811">
        <f t="shared" si="388"/>
        <v>0</v>
      </c>
      <c r="AG111" s="1811">
        <f t="shared" si="388"/>
        <v>0</v>
      </c>
      <c r="AH111" s="1811">
        <f t="shared" si="388"/>
        <v>0</v>
      </c>
      <c r="AI111" s="1811">
        <f t="shared" ref="AI111:BN111" si="389">AI49</f>
        <v>0</v>
      </c>
      <c r="AJ111" s="1811">
        <f t="shared" si="389"/>
        <v>0</v>
      </c>
      <c r="AK111" s="1811">
        <f t="shared" si="389"/>
        <v>0</v>
      </c>
      <c r="AL111" s="1811">
        <f t="shared" si="389"/>
        <v>0</v>
      </c>
      <c r="AM111" s="1811">
        <f t="shared" si="389"/>
        <v>0</v>
      </c>
      <c r="AN111" s="1811">
        <f t="shared" si="389"/>
        <v>0</v>
      </c>
      <c r="AO111" s="1811">
        <f t="shared" si="389"/>
        <v>0</v>
      </c>
      <c r="AP111" s="1811">
        <f t="shared" si="389"/>
        <v>0</v>
      </c>
      <c r="AQ111" s="1811">
        <f t="shared" si="389"/>
        <v>0</v>
      </c>
      <c r="AR111" s="1811">
        <f t="shared" si="389"/>
        <v>0</v>
      </c>
      <c r="AS111" s="1811">
        <f t="shared" si="389"/>
        <v>0</v>
      </c>
      <c r="AT111" s="1811">
        <f t="shared" si="389"/>
        <v>0</v>
      </c>
      <c r="AU111" s="1811">
        <f t="shared" si="389"/>
        <v>0</v>
      </c>
      <c r="AV111" s="1811">
        <f t="shared" si="389"/>
        <v>0</v>
      </c>
      <c r="AW111" s="1811">
        <f t="shared" si="389"/>
        <v>0</v>
      </c>
      <c r="AX111" s="1811">
        <f t="shared" si="389"/>
        <v>0</v>
      </c>
      <c r="AY111" s="1811">
        <f t="shared" si="389"/>
        <v>0</v>
      </c>
      <c r="AZ111" s="1811">
        <f t="shared" si="389"/>
        <v>0</v>
      </c>
      <c r="BA111" s="1811">
        <f t="shared" si="389"/>
        <v>0</v>
      </c>
      <c r="BB111" s="1811">
        <f t="shared" si="389"/>
        <v>0</v>
      </c>
      <c r="BC111" s="1811">
        <f t="shared" si="389"/>
        <v>0</v>
      </c>
      <c r="BD111" s="1811">
        <f t="shared" si="389"/>
        <v>0</v>
      </c>
      <c r="BE111" s="1811">
        <f t="shared" si="389"/>
        <v>0</v>
      </c>
      <c r="BF111" s="1811">
        <f t="shared" si="389"/>
        <v>0</v>
      </c>
      <c r="BG111" s="1811">
        <f t="shared" si="389"/>
        <v>0</v>
      </c>
      <c r="BH111" s="1811">
        <f t="shared" si="389"/>
        <v>0</v>
      </c>
      <c r="BI111" s="1811">
        <f t="shared" si="389"/>
        <v>0</v>
      </c>
      <c r="BJ111" s="1811">
        <f t="shared" si="389"/>
        <v>0</v>
      </c>
      <c r="BK111" s="1811">
        <f t="shared" si="389"/>
        <v>0</v>
      </c>
      <c r="BL111" s="1811">
        <f t="shared" si="389"/>
        <v>0</v>
      </c>
      <c r="BM111" s="1811">
        <f t="shared" si="389"/>
        <v>0</v>
      </c>
      <c r="BN111" s="1811">
        <f t="shared" si="389"/>
        <v>0</v>
      </c>
      <c r="BO111" s="1811">
        <f t="shared" ref="BO111:CG111" si="390">BO49</f>
        <v>0</v>
      </c>
      <c r="BP111" s="1811">
        <f t="shared" si="390"/>
        <v>0</v>
      </c>
      <c r="BQ111" s="1811">
        <f t="shared" si="390"/>
        <v>0</v>
      </c>
      <c r="BR111" s="1811">
        <f t="shared" si="390"/>
        <v>0</v>
      </c>
      <c r="BS111" s="1811">
        <f t="shared" si="390"/>
        <v>0</v>
      </c>
      <c r="BT111" s="1811">
        <f t="shared" si="390"/>
        <v>0</v>
      </c>
      <c r="BU111" s="1811">
        <f t="shared" si="390"/>
        <v>0</v>
      </c>
      <c r="BV111" s="1811">
        <f t="shared" si="390"/>
        <v>0</v>
      </c>
      <c r="BW111" s="1811">
        <f t="shared" si="390"/>
        <v>0</v>
      </c>
      <c r="BX111" s="1811">
        <f t="shared" si="390"/>
        <v>0</v>
      </c>
      <c r="BY111" s="1811">
        <f t="shared" si="390"/>
        <v>0</v>
      </c>
      <c r="BZ111" s="1811">
        <f t="shared" si="390"/>
        <v>0</v>
      </c>
      <c r="CA111" s="1811">
        <f t="shared" si="390"/>
        <v>0</v>
      </c>
      <c r="CB111" s="1811">
        <f t="shared" si="390"/>
        <v>0</v>
      </c>
      <c r="CC111" s="1811">
        <f t="shared" si="390"/>
        <v>0</v>
      </c>
      <c r="CD111" s="1811">
        <f t="shared" si="390"/>
        <v>0</v>
      </c>
      <c r="CE111" s="1811">
        <f t="shared" si="390"/>
        <v>0</v>
      </c>
      <c r="CF111" s="1811">
        <f t="shared" si="390"/>
        <v>0</v>
      </c>
      <c r="CG111" s="1811">
        <f t="shared" si="390"/>
        <v>0</v>
      </c>
    </row>
    <row r="112" spans="1:85">
      <c r="A112" s="1586"/>
      <c r="B112" s="1411" t="s">
        <v>1386</v>
      </c>
      <c r="C112" s="1811"/>
      <c r="D112" s="1811"/>
      <c r="E112" s="1811"/>
      <c r="F112" s="1811"/>
      <c r="G112" s="1811"/>
      <c r="H112" s="1811"/>
      <c r="I112" s="1811"/>
      <c r="J112" s="1811"/>
      <c r="K112" s="1811"/>
      <c r="L112" s="1811"/>
      <c r="M112" s="1811"/>
      <c r="N112" s="1811"/>
      <c r="O112" s="1811"/>
      <c r="P112" s="1811"/>
      <c r="Q112" s="1811"/>
      <c r="R112" s="1811"/>
      <c r="S112" s="1811"/>
      <c r="T112" s="1811"/>
      <c r="U112" s="1811"/>
      <c r="V112" s="1811"/>
      <c r="W112" s="1811"/>
      <c r="X112" s="1811"/>
      <c r="Y112" s="1811"/>
      <c r="Z112" s="1811"/>
      <c r="AA112" s="1811"/>
      <c r="AB112" s="1811"/>
      <c r="AC112" s="1811"/>
      <c r="AD112" s="1811"/>
      <c r="AE112" s="1811"/>
      <c r="AF112" s="1811"/>
      <c r="AG112" s="1811"/>
      <c r="AH112" s="1811"/>
      <c r="AI112" s="1811"/>
      <c r="AJ112" s="1811"/>
      <c r="AK112" s="1811"/>
      <c r="AL112" s="1811"/>
      <c r="AM112" s="1811"/>
      <c r="AN112" s="1811"/>
      <c r="AO112" s="1811"/>
      <c r="AP112" s="1811"/>
      <c r="AQ112" s="1811"/>
      <c r="AR112" s="1811"/>
      <c r="AS112" s="1811"/>
      <c r="AT112" s="1811"/>
      <c r="AU112" s="1811"/>
      <c r="AV112" s="1811"/>
      <c r="AW112" s="1811"/>
      <c r="AX112" s="1811"/>
      <c r="AY112" s="1811"/>
      <c r="AZ112" s="1811"/>
      <c r="BA112" s="1811"/>
      <c r="BB112" s="1811"/>
      <c r="BC112" s="1811"/>
      <c r="BD112" s="1811"/>
      <c r="BE112" s="1811"/>
      <c r="BF112" s="1811"/>
      <c r="BG112" s="1811"/>
      <c r="BH112" s="1811">
        <f t="shared" ref="BH112:CG112" si="391">BH48</f>
        <v>0</v>
      </c>
      <c r="BI112" s="1811">
        <f t="shared" si="391"/>
        <v>0</v>
      </c>
      <c r="BJ112" s="1811">
        <f t="shared" si="391"/>
        <v>0</v>
      </c>
      <c r="BK112" s="1811">
        <f t="shared" si="391"/>
        <v>0</v>
      </c>
      <c r="BL112" s="1811">
        <f t="shared" si="391"/>
        <v>0</v>
      </c>
      <c r="BM112" s="1811">
        <f t="shared" si="391"/>
        <v>0</v>
      </c>
      <c r="BN112" s="1811">
        <f t="shared" si="391"/>
        <v>0</v>
      </c>
      <c r="BO112" s="1811">
        <f t="shared" si="391"/>
        <v>0</v>
      </c>
      <c r="BP112" s="1811">
        <f t="shared" si="391"/>
        <v>0</v>
      </c>
      <c r="BQ112" s="1811">
        <f t="shared" si="391"/>
        <v>0</v>
      </c>
      <c r="BR112" s="1811">
        <f t="shared" si="391"/>
        <v>0</v>
      </c>
      <c r="BS112" s="1811">
        <f t="shared" si="391"/>
        <v>0</v>
      </c>
      <c r="BT112" s="1811">
        <f t="shared" si="391"/>
        <v>0</v>
      </c>
      <c r="BU112" s="1811">
        <f t="shared" si="391"/>
        <v>0</v>
      </c>
      <c r="BV112" s="1811">
        <f t="shared" si="391"/>
        <v>0</v>
      </c>
      <c r="BW112" s="1811">
        <f t="shared" si="391"/>
        <v>0</v>
      </c>
      <c r="BX112" s="1811">
        <f t="shared" si="391"/>
        <v>0</v>
      </c>
      <c r="BY112" s="1811">
        <f t="shared" si="391"/>
        <v>0</v>
      </c>
      <c r="BZ112" s="1811">
        <f t="shared" si="391"/>
        <v>0</v>
      </c>
      <c r="CA112" s="1811">
        <f t="shared" si="391"/>
        <v>0</v>
      </c>
      <c r="CB112" s="1811">
        <f t="shared" si="391"/>
        <v>0</v>
      </c>
      <c r="CC112" s="1811">
        <f t="shared" si="391"/>
        <v>0</v>
      </c>
      <c r="CD112" s="1811">
        <f t="shared" si="391"/>
        <v>0</v>
      </c>
      <c r="CE112" s="1811">
        <f t="shared" si="391"/>
        <v>0</v>
      </c>
      <c r="CF112" s="1811">
        <f t="shared" si="391"/>
        <v>0</v>
      </c>
      <c r="CG112" s="1811">
        <f t="shared" si="391"/>
        <v>0</v>
      </c>
    </row>
    <row r="113" spans="1:85">
      <c r="A113" s="1586"/>
      <c r="B113" s="1411" t="s">
        <v>1174</v>
      </c>
      <c r="C113" s="1411">
        <f t="shared" ref="C113:AH113" si="392">IF(C16="Orlov",0,C51)</f>
        <v>0</v>
      </c>
      <c r="D113" s="1411">
        <f t="shared" si="392"/>
        <v>0</v>
      </c>
      <c r="E113" s="1411">
        <f t="shared" si="392"/>
        <v>0</v>
      </c>
      <c r="F113" s="1411">
        <f t="shared" si="392"/>
        <v>0</v>
      </c>
      <c r="G113" s="1411">
        <f t="shared" si="392"/>
        <v>0</v>
      </c>
      <c r="H113" s="1411">
        <f t="shared" si="392"/>
        <v>0</v>
      </c>
      <c r="I113" s="1411">
        <f t="shared" si="392"/>
        <v>0</v>
      </c>
      <c r="J113" s="1411">
        <f t="shared" si="392"/>
        <v>0</v>
      </c>
      <c r="K113" s="1411">
        <f t="shared" si="392"/>
        <v>0</v>
      </c>
      <c r="L113" s="1411">
        <f t="shared" si="392"/>
        <v>0</v>
      </c>
      <c r="M113" s="1411">
        <f t="shared" si="392"/>
        <v>0</v>
      </c>
      <c r="N113" s="1411">
        <f t="shared" si="392"/>
        <v>0</v>
      </c>
      <c r="O113" s="1411">
        <f t="shared" si="392"/>
        <v>0</v>
      </c>
      <c r="P113" s="1411">
        <f t="shared" si="392"/>
        <v>0</v>
      </c>
      <c r="Q113" s="1411">
        <f t="shared" si="392"/>
        <v>0</v>
      </c>
      <c r="R113" s="1411">
        <f t="shared" si="392"/>
        <v>0</v>
      </c>
      <c r="S113" s="1411">
        <f t="shared" si="392"/>
        <v>0</v>
      </c>
      <c r="T113" s="1411">
        <f t="shared" si="392"/>
        <v>0</v>
      </c>
      <c r="U113" s="1411">
        <f t="shared" si="392"/>
        <v>0</v>
      </c>
      <c r="V113" s="1411">
        <f t="shared" si="392"/>
        <v>0</v>
      </c>
      <c r="W113" s="1411">
        <f t="shared" si="392"/>
        <v>0</v>
      </c>
      <c r="X113" s="1411">
        <f t="shared" si="392"/>
        <v>0</v>
      </c>
      <c r="Y113" s="1411">
        <f t="shared" si="392"/>
        <v>0</v>
      </c>
      <c r="Z113" s="1411">
        <f t="shared" si="392"/>
        <v>0</v>
      </c>
      <c r="AA113" s="1411">
        <f t="shared" si="392"/>
        <v>0</v>
      </c>
      <c r="AB113" s="1411">
        <f t="shared" si="392"/>
        <v>0</v>
      </c>
      <c r="AC113" s="1411">
        <f t="shared" si="392"/>
        <v>0</v>
      </c>
      <c r="AD113" s="1411">
        <f t="shared" si="392"/>
        <v>0</v>
      </c>
      <c r="AE113" s="1411">
        <f t="shared" si="392"/>
        <v>0</v>
      </c>
      <c r="AF113" s="1411">
        <f t="shared" si="392"/>
        <v>0</v>
      </c>
      <c r="AG113" s="1411">
        <f t="shared" si="392"/>
        <v>0</v>
      </c>
      <c r="AH113" s="1411">
        <f t="shared" si="392"/>
        <v>0</v>
      </c>
      <c r="AI113" s="1411">
        <f t="shared" ref="AI113:BN113" si="393">IF(AI16="Orlov",0,AI51)</f>
        <v>0</v>
      </c>
      <c r="AJ113" s="1411">
        <f t="shared" si="393"/>
        <v>0</v>
      </c>
      <c r="AK113" s="1411">
        <f t="shared" si="393"/>
        <v>0</v>
      </c>
      <c r="AL113" s="1411">
        <f t="shared" si="393"/>
        <v>0</v>
      </c>
      <c r="AM113" s="1411">
        <f t="shared" si="393"/>
        <v>0</v>
      </c>
      <c r="AN113" s="1411">
        <f t="shared" si="393"/>
        <v>0</v>
      </c>
      <c r="AO113" s="1411">
        <f t="shared" si="393"/>
        <v>0</v>
      </c>
      <c r="AP113" s="1411">
        <f t="shared" si="393"/>
        <v>0</v>
      </c>
      <c r="AQ113" s="1411">
        <f t="shared" si="393"/>
        <v>0</v>
      </c>
      <c r="AR113" s="1411">
        <f t="shared" si="393"/>
        <v>0</v>
      </c>
      <c r="AS113" s="1411">
        <f t="shared" si="393"/>
        <v>0</v>
      </c>
      <c r="AT113" s="1411">
        <f t="shared" si="393"/>
        <v>0</v>
      </c>
      <c r="AU113" s="1411">
        <f t="shared" si="393"/>
        <v>0</v>
      </c>
      <c r="AV113" s="1411">
        <f t="shared" si="393"/>
        <v>0</v>
      </c>
      <c r="AW113" s="1411">
        <f t="shared" si="393"/>
        <v>0</v>
      </c>
      <c r="AX113" s="1411">
        <f t="shared" si="393"/>
        <v>0</v>
      </c>
      <c r="AY113" s="1411">
        <f t="shared" si="393"/>
        <v>0</v>
      </c>
      <c r="AZ113" s="1411">
        <f t="shared" si="393"/>
        <v>0</v>
      </c>
      <c r="BA113" s="1411">
        <f t="shared" si="393"/>
        <v>0</v>
      </c>
      <c r="BB113" s="1411">
        <f t="shared" si="393"/>
        <v>0</v>
      </c>
      <c r="BC113" s="1411">
        <f t="shared" si="393"/>
        <v>0</v>
      </c>
      <c r="BD113" s="1411">
        <f t="shared" si="393"/>
        <v>0</v>
      </c>
      <c r="BE113" s="1411">
        <f t="shared" si="393"/>
        <v>0</v>
      </c>
      <c r="BF113" s="1411">
        <f t="shared" si="393"/>
        <v>0</v>
      </c>
      <c r="BG113" s="1411">
        <f t="shared" si="393"/>
        <v>0</v>
      </c>
      <c r="BH113" s="1411">
        <f t="shared" si="393"/>
        <v>0</v>
      </c>
      <c r="BI113" s="1411">
        <f t="shared" si="393"/>
        <v>0</v>
      </c>
      <c r="BJ113" s="1411">
        <f t="shared" si="393"/>
        <v>0</v>
      </c>
      <c r="BK113" s="1411">
        <f t="shared" si="393"/>
        <v>0</v>
      </c>
      <c r="BL113" s="1411">
        <f t="shared" si="393"/>
        <v>0</v>
      </c>
      <c r="BM113" s="1411">
        <f t="shared" si="393"/>
        <v>0</v>
      </c>
      <c r="BN113" s="1411">
        <f t="shared" si="393"/>
        <v>0</v>
      </c>
      <c r="BO113" s="1411">
        <f t="shared" ref="BO113:CG113" si="394">IF(BO16="Orlov",0,BO51)</f>
        <v>0</v>
      </c>
      <c r="BP113" s="1411">
        <f t="shared" si="394"/>
        <v>0</v>
      </c>
      <c r="BQ113" s="1411">
        <f t="shared" si="394"/>
        <v>0</v>
      </c>
      <c r="BR113" s="1411">
        <f t="shared" si="394"/>
        <v>0</v>
      </c>
      <c r="BS113" s="1411">
        <f t="shared" si="394"/>
        <v>0</v>
      </c>
      <c r="BT113" s="1411">
        <f t="shared" si="394"/>
        <v>0</v>
      </c>
      <c r="BU113" s="1411">
        <f t="shared" si="394"/>
        <v>0</v>
      </c>
      <c r="BV113" s="1411">
        <f t="shared" si="394"/>
        <v>0</v>
      </c>
      <c r="BW113" s="1411">
        <f t="shared" si="394"/>
        <v>0</v>
      </c>
      <c r="BX113" s="1411">
        <f t="shared" si="394"/>
        <v>0</v>
      </c>
      <c r="BY113" s="1411">
        <f t="shared" si="394"/>
        <v>0</v>
      </c>
      <c r="BZ113" s="1411">
        <f t="shared" si="394"/>
        <v>0</v>
      </c>
      <c r="CA113" s="1411">
        <f t="shared" si="394"/>
        <v>0</v>
      </c>
      <c r="CB113" s="1411">
        <f t="shared" si="394"/>
        <v>0</v>
      </c>
      <c r="CC113" s="1411">
        <f t="shared" si="394"/>
        <v>0</v>
      </c>
      <c r="CD113" s="1411">
        <f t="shared" si="394"/>
        <v>0</v>
      </c>
      <c r="CE113" s="1411">
        <f t="shared" si="394"/>
        <v>0</v>
      </c>
      <c r="CF113" s="1411">
        <f t="shared" si="394"/>
        <v>0</v>
      </c>
      <c r="CG113" s="1411">
        <f t="shared" si="394"/>
        <v>0</v>
      </c>
    </row>
    <row r="114" spans="1:85">
      <c r="B114" s="98" t="s">
        <v>1216</v>
      </c>
      <c r="C114" s="103">
        <f t="shared" ref="C114:AH114" si="395">IF(C16="Orlov",0,C53)</f>
        <v>0</v>
      </c>
      <c r="D114" s="103">
        <f t="shared" si="395"/>
        <v>0</v>
      </c>
      <c r="E114" s="103">
        <f t="shared" si="395"/>
        <v>0</v>
      </c>
      <c r="F114" s="103">
        <f t="shared" si="395"/>
        <v>0</v>
      </c>
      <c r="G114" s="103">
        <f t="shared" si="395"/>
        <v>0</v>
      </c>
      <c r="H114" s="103">
        <f t="shared" si="395"/>
        <v>0</v>
      </c>
      <c r="I114" s="103">
        <f t="shared" si="395"/>
        <v>0</v>
      </c>
      <c r="J114" s="103">
        <f t="shared" si="395"/>
        <v>0</v>
      </c>
      <c r="K114" s="103">
        <f t="shared" si="395"/>
        <v>0</v>
      </c>
      <c r="L114" s="103">
        <f t="shared" si="395"/>
        <v>0</v>
      </c>
      <c r="M114" s="103">
        <f t="shared" si="395"/>
        <v>0</v>
      </c>
      <c r="N114" s="103">
        <f t="shared" si="395"/>
        <v>0</v>
      </c>
      <c r="O114" s="103">
        <f t="shared" si="395"/>
        <v>0</v>
      </c>
      <c r="P114" s="103">
        <f t="shared" si="395"/>
        <v>0</v>
      </c>
      <c r="Q114" s="103">
        <f t="shared" si="395"/>
        <v>0</v>
      </c>
      <c r="R114" s="103">
        <f t="shared" si="395"/>
        <v>0</v>
      </c>
      <c r="S114" s="103">
        <f t="shared" si="395"/>
        <v>0</v>
      </c>
      <c r="T114" s="103">
        <f t="shared" si="395"/>
        <v>0</v>
      </c>
      <c r="U114" s="103">
        <f t="shared" si="395"/>
        <v>0</v>
      </c>
      <c r="V114" s="103">
        <f t="shared" si="395"/>
        <v>0</v>
      </c>
      <c r="W114" s="103">
        <f t="shared" si="395"/>
        <v>0</v>
      </c>
      <c r="X114" s="103">
        <f t="shared" si="395"/>
        <v>0</v>
      </c>
      <c r="Y114" s="103">
        <f t="shared" si="395"/>
        <v>0</v>
      </c>
      <c r="Z114" s="103">
        <f t="shared" si="395"/>
        <v>0</v>
      </c>
      <c r="AA114" s="103">
        <f t="shared" si="395"/>
        <v>0</v>
      </c>
      <c r="AB114" s="103">
        <f t="shared" si="395"/>
        <v>0</v>
      </c>
      <c r="AC114" s="103">
        <f t="shared" si="395"/>
        <v>0</v>
      </c>
      <c r="AD114" s="103">
        <f t="shared" si="395"/>
        <v>0</v>
      </c>
      <c r="AE114" s="103">
        <f t="shared" si="395"/>
        <v>0</v>
      </c>
      <c r="AF114" s="103">
        <f t="shared" si="395"/>
        <v>0</v>
      </c>
      <c r="AG114" s="103">
        <f t="shared" si="395"/>
        <v>0</v>
      </c>
      <c r="AH114" s="103">
        <f t="shared" si="395"/>
        <v>0</v>
      </c>
      <c r="AI114" s="103">
        <f t="shared" ref="AI114:BN114" si="396">IF(AI16="Orlov",0,AI53)</f>
        <v>0</v>
      </c>
      <c r="AJ114" s="103">
        <f t="shared" si="396"/>
        <v>0</v>
      </c>
      <c r="AK114" s="103">
        <f t="shared" si="396"/>
        <v>0</v>
      </c>
      <c r="AL114" s="103">
        <f t="shared" si="396"/>
        <v>0</v>
      </c>
      <c r="AM114" s="103">
        <f t="shared" si="396"/>
        <v>0</v>
      </c>
      <c r="AN114" s="103">
        <f t="shared" si="396"/>
        <v>0</v>
      </c>
      <c r="AO114" s="103">
        <f t="shared" si="396"/>
        <v>0</v>
      </c>
      <c r="AP114" s="103">
        <f t="shared" si="396"/>
        <v>0</v>
      </c>
      <c r="AQ114" s="103">
        <f t="shared" si="396"/>
        <v>0</v>
      </c>
      <c r="AR114" s="103">
        <f t="shared" si="396"/>
        <v>0</v>
      </c>
      <c r="AS114" s="103">
        <f t="shared" si="396"/>
        <v>0</v>
      </c>
      <c r="AT114" s="103">
        <f t="shared" si="396"/>
        <v>0</v>
      </c>
      <c r="AU114" s="103">
        <f t="shared" si="396"/>
        <v>0</v>
      </c>
      <c r="AV114" s="103">
        <f t="shared" si="396"/>
        <v>0</v>
      </c>
      <c r="AW114" s="103">
        <f t="shared" si="396"/>
        <v>0</v>
      </c>
      <c r="AX114" s="103">
        <f t="shared" si="396"/>
        <v>0</v>
      </c>
      <c r="AY114" s="103">
        <f t="shared" si="396"/>
        <v>0</v>
      </c>
      <c r="AZ114" s="103">
        <f t="shared" si="396"/>
        <v>0</v>
      </c>
      <c r="BA114" s="103">
        <f t="shared" si="396"/>
        <v>0</v>
      </c>
      <c r="BB114" s="103">
        <f t="shared" si="396"/>
        <v>0</v>
      </c>
      <c r="BC114" s="103">
        <f t="shared" si="396"/>
        <v>0</v>
      </c>
      <c r="BD114" s="103">
        <f t="shared" si="396"/>
        <v>0</v>
      </c>
      <c r="BE114" s="103">
        <f t="shared" si="396"/>
        <v>0</v>
      </c>
      <c r="BF114" s="103">
        <f t="shared" si="396"/>
        <v>0</v>
      </c>
      <c r="BG114" s="103">
        <f t="shared" si="396"/>
        <v>0</v>
      </c>
      <c r="BH114" s="103">
        <f t="shared" si="396"/>
        <v>0</v>
      </c>
      <c r="BI114" s="103">
        <f t="shared" si="396"/>
        <v>0</v>
      </c>
      <c r="BJ114" s="103">
        <f t="shared" si="396"/>
        <v>0</v>
      </c>
      <c r="BK114" s="103">
        <f t="shared" si="396"/>
        <v>0</v>
      </c>
      <c r="BL114" s="103">
        <f t="shared" si="396"/>
        <v>0</v>
      </c>
      <c r="BM114" s="103">
        <f t="shared" si="396"/>
        <v>0</v>
      </c>
      <c r="BN114" s="103">
        <f t="shared" si="396"/>
        <v>0</v>
      </c>
      <c r="BO114" s="103">
        <f t="shared" ref="BO114:CG114" si="397">IF(BO16="Orlov",0,BO53)</f>
        <v>0</v>
      </c>
      <c r="BP114" s="103">
        <f t="shared" si="397"/>
        <v>0</v>
      </c>
      <c r="BQ114" s="103">
        <f t="shared" si="397"/>
        <v>0</v>
      </c>
      <c r="BR114" s="103">
        <f t="shared" si="397"/>
        <v>0</v>
      </c>
      <c r="BS114" s="103">
        <f t="shared" si="397"/>
        <v>0</v>
      </c>
      <c r="BT114" s="103">
        <f t="shared" si="397"/>
        <v>0</v>
      </c>
      <c r="BU114" s="103">
        <f t="shared" si="397"/>
        <v>0</v>
      </c>
      <c r="BV114" s="103">
        <f t="shared" si="397"/>
        <v>0</v>
      </c>
      <c r="BW114" s="103">
        <f t="shared" si="397"/>
        <v>0</v>
      </c>
      <c r="BX114" s="103">
        <f t="shared" si="397"/>
        <v>0</v>
      </c>
      <c r="BY114" s="103">
        <f t="shared" si="397"/>
        <v>0</v>
      </c>
      <c r="BZ114" s="103">
        <f t="shared" si="397"/>
        <v>0</v>
      </c>
      <c r="CA114" s="103">
        <f t="shared" si="397"/>
        <v>0</v>
      </c>
      <c r="CB114" s="103">
        <f t="shared" si="397"/>
        <v>0</v>
      </c>
      <c r="CC114" s="103">
        <f t="shared" si="397"/>
        <v>0</v>
      </c>
      <c r="CD114" s="103">
        <f t="shared" si="397"/>
        <v>0</v>
      </c>
      <c r="CE114" s="103">
        <f t="shared" si="397"/>
        <v>0</v>
      </c>
      <c r="CF114" s="103">
        <f t="shared" si="397"/>
        <v>0</v>
      </c>
      <c r="CG114" s="103">
        <f t="shared" si="397"/>
        <v>0</v>
      </c>
    </row>
    <row r="116" spans="1:85">
      <c r="B116" s="98" t="s">
        <v>1218</v>
      </c>
      <c r="C116" s="103">
        <f>SUM(C98:C115)</f>
        <v>0</v>
      </c>
      <c r="D116" s="103">
        <f>SUM(D98:D115)</f>
        <v>0</v>
      </c>
      <c r="E116" s="103">
        <f>SUM(E97:E115)</f>
        <v>0</v>
      </c>
      <c r="F116" s="103">
        <f t="shared" ref="F116:CG116" si="398">SUM(F97:F115)</f>
        <v>0</v>
      </c>
      <c r="G116" s="103">
        <f t="shared" ref="G116" si="399">SUM(G97:G115)</f>
        <v>0</v>
      </c>
      <c r="H116" s="103">
        <f t="shared" si="398"/>
        <v>0</v>
      </c>
      <c r="I116" s="103">
        <f t="shared" si="398"/>
        <v>0</v>
      </c>
      <c r="J116" s="103">
        <f t="shared" ref="J116" si="400">SUM(J97:J115)</f>
        <v>0</v>
      </c>
      <c r="K116" s="103">
        <f t="shared" si="398"/>
        <v>0</v>
      </c>
      <c r="L116" s="103">
        <f t="shared" si="398"/>
        <v>0</v>
      </c>
      <c r="M116" s="103">
        <f t="shared" si="398"/>
        <v>0</v>
      </c>
      <c r="N116" s="103">
        <f t="shared" si="398"/>
        <v>0</v>
      </c>
      <c r="O116" s="103">
        <f t="shared" si="398"/>
        <v>0</v>
      </c>
      <c r="P116" s="103">
        <f t="shared" si="398"/>
        <v>0</v>
      </c>
      <c r="Q116" s="103">
        <f t="shared" si="398"/>
        <v>0</v>
      </c>
      <c r="R116" s="103">
        <f t="shared" si="398"/>
        <v>0</v>
      </c>
      <c r="S116" s="103">
        <f t="shared" si="398"/>
        <v>0</v>
      </c>
      <c r="T116" s="103">
        <f t="shared" si="398"/>
        <v>0</v>
      </c>
      <c r="U116" s="103">
        <f t="shared" si="398"/>
        <v>0</v>
      </c>
      <c r="V116" s="103">
        <f t="shared" si="398"/>
        <v>0</v>
      </c>
      <c r="W116" s="103">
        <f t="shared" si="398"/>
        <v>0</v>
      </c>
      <c r="X116" s="103">
        <f t="shared" si="398"/>
        <v>0</v>
      </c>
      <c r="Y116" s="103">
        <f t="shared" si="398"/>
        <v>0</v>
      </c>
      <c r="Z116" s="103">
        <f t="shared" si="398"/>
        <v>0</v>
      </c>
      <c r="AA116" s="103">
        <f t="shared" si="398"/>
        <v>0</v>
      </c>
      <c r="AB116" s="103">
        <f t="shared" si="398"/>
        <v>0</v>
      </c>
      <c r="AC116" s="103">
        <f t="shared" si="398"/>
        <v>0</v>
      </c>
      <c r="AD116" s="103">
        <f t="shared" si="398"/>
        <v>0</v>
      </c>
      <c r="AE116" s="103">
        <f t="shared" si="398"/>
        <v>0</v>
      </c>
      <c r="AF116" s="103">
        <f t="shared" si="398"/>
        <v>0</v>
      </c>
      <c r="AG116" s="103">
        <f t="shared" si="398"/>
        <v>0</v>
      </c>
      <c r="AH116" s="103">
        <f t="shared" si="398"/>
        <v>0</v>
      </c>
      <c r="AI116" s="103">
        <f t="shared" si="398"/>
        <v>0</v>
      </c>
      <c r="AJ116" s="103">
        <f t="shared" si="398"/>
        <v>0</v>
      </c>
      <c r="AK116" s="103">
        <f t="shared" si="398"/>
        <v>0</v>
      </c>
      <c r="AL116" s="103">
        <f t="shared" si="398"/>
        <v>0</v>
      </c>
      <c r="AM116" s="103">
        <f t="shared" si="398"/>
        <v>0</v>
      </c>
      <c r="AN116" s="103">
        <f t="shared" si="398"/>
        <v>0</v>
      </c>
      <c r="AO116" s="103">
        <f t="shared" si="398"/>
        <v>0</v>
      </c>
      <c r="AP116" s="103">
        <f t="shared" si="398"/>
        <v>0</v>
      </c>
      <c r="AQ116" s="103">
        <f t="shared" si="398"/>
        <v>0</v>
      </c>
      <c r="AR116" s="103">
        <f t="shared" si="398"/>
        <v>0</v>
      </c>
      <c r="AS116" s="103">
        <f t="shared" si="398"/>
        <v>0</v>
      </c>
      <c r="AT116" s="103">
        <f t="shared" si="398"/>
        <v>0</v>
      </c>
      <c r="AU116" s="103">
        <f t="shared" si="398"/>
        <v>0</v>
      </c>
      <c r="AV116" s="103">
        <f>SUM(AV97:AV115)</f>
        <v>0</v>
      </c>
      <c r="AW116" s="103">
        <f>SUM(AW97:AW115)</f>
        <v>0</v>
      </c>
      <c r="AX116" s="103">
        <f>SUM(AX97:AX115)</f>
        <v>0</v>
      </c>
      <c r="AY116" s="103">
        <f>SUM(AY97:AY115)</f>
        <v>0</v>
      </c>
      <c r="AZ116" s="103">
        <f t="shared" ref="AZ116:BG116" si="401">SUM(AZ97:AZ115)</f>
        <v>0</v>
      </c>
      <c r="BA116" s="103">
        <f t="shared" si="401"/>
        <v>0</v>
      </c>
      <c r="BB116" s="103">
        <f t="shared" si="401"/>
        <v>0</v>
      </c>
      <c r="BC116" s="103">
        <f t="shared" si="401"/>
        <v>0</v>
      </c>
      <c r="BD116" s="103">
        <f t="shared" si="401"/>
        <v>0</v>
      </c>
      <c r="BE116" s="103">
        <f t="shared" si="401"/>
        <v>0</v>
      </c>
      <c r="BF116" s="103">
        <f t="shared" si="401"/>
        <v>0</v>
      </c>
      <c r="BG116" s="103">
        <f t="shared" si="401"/>
        <v>0</v>
      </c>
      <c r="BH116" s="103">
        <f t="shared" si="398"/>
        <v>0</v>
      </c>
      <c r="BI116" s="103">
        <f t="shared" si="398"/>
        <v>0</v>
      </c>
      <c r="BJ116" s="103">
        <f t="shared" si="398"/>
        <v>0</v>
      </c>
      <c r="BK116" s="103">
        <f t="shared" si="398"/>
        <v>0</v>
      </c>
      <c r="BL116" s="103">
        <f t="shared" si="398"/>
        <v>0</v>
      </c>
      <c r="BM116" s="103">
        <f t="shared" si="398"/>
        <v>0</v>
      </c>
      <c r="BN116" s="103">
        <f t="shared" si="398"/>
        <v>0</v>
      </c>
      <c r="BO116" s="103">
        <f t="shared" ref="BO116" si="402">SUM(BO97:BO115)</f>
        <v>0</v>
      </c>
      <c r="BP116" s="103">
        <f t="shared" si="398"/>
        <v>0</v>
      </c>
      <c r="BQ116" s="103">
        <f t="shared" ref="BQ116" si="403">SUM(BQ97:BQ115)</f>
        <v>0</v>
      </c>
      <c r="BR116" s="103">
        <f t="shared" ref="BR116:BT116" si="404">SUM(BR97:BR115)</f>
        <v>0</v>
      </c>
      <c r="BS116" s="103">
        <f t="shared" ref="BS116" si="405">SUM(BS97:BS115)</f>
        <v>0</v>
      </c>
      <c r="BT116" s="103">
        <f t="shared" si="404"/>
        <v>0</v>
      </c>
      <c r="BU116" s="103">
        <f t="shared" ref="BU116" si="406">SUM(BU97:BU115)</f>
        <v>0</v>
      </c>
      <c r="BV116" s="103">
        <f t="shared" si="398"/>
        <v>0</v>
      </c>
      <c r="BW116" s="103">
        <f t="shared" si="398"/>
        <v>0</v>
      </c>
      <c r="BX116" s="103">
        <f t="shared" si="398"/>
        <v>0</v>
      </c>
      <c r="BY116" s="103">
        <f t="shared" si="398"/>
        <v>0</v>
      </c>
      <c r="BZ116" s="103">
        <f t="shared" si="398"/>
        <v>0</v>
      </c>
      <c r="CA116" s="103">
        <f>SUM(CA97:CA115)</f>
        <v>0</v>
      </c>
      <c r="CB116" s="103">
        <f t="shared" si="398"/>
        <v>0</v>
      </c>
      <c r="CC116" s="103">
        <f t="shared" si="398"/>
        <v>0</v>
      </c>
      <c r="CD116" s="103">
        <f t="shared" si="398"/>
        <v>0</v>
      </c>
      <c r="CE116" s="103">
        <f t="shared" si="398"/>
        <v>0</v>
      </c>
      <c r="CF116" s="103">
        <f t="shared" si="398"/>
        <v>0</v>
      </c>
      <c r="CG116" s="103">
        <f t="shared" si="398"/>
        <v>0</v>
      </c>
    </row>
    <row r="117" spans="1:85">
      <c r="B117" s="98" t="s">
        <v>1219</v>
      </c>
      <c r="C117" s="1203">
        <f t="shared" ref="C117:AH117" si="407">C54-C116</f>
        <v>0</v>
      </c>
      <c r="D117" s="1203">
        <f t="shared" si="407"/>
        <v>0</v>
      </c>
      <c r="E117" s="1203">
        <f t="shared" si="407"/>
        <v>0</v>
      </c>
      <c r="F117" s="1203">
        <f t="shared" si="407"/>
        <v>0</v>
      </c>
      <c r="G117" s="1203">
        <f t="shared" si="407"/>
        <v>0</v>
      </c>
      <c r="H117" s="1203">
        <f t="shared" si="407"/>
        <v>0</v>
      </c>
      <c r="I117" s="1203">
        <f t="shared" si="407"/>
        <v>0</v>
      </c>
      <c r="J117" s="1203">
        <f t="shared" si="407"/>
        <v>0</v>
      </c>
      <c r="K117" s="1203">
        <f t="shared" si="407"/>
        <v>0</v>
      </c>
      <c r="L117" s="1203">
        <f t="shared" si="407"/>
        <v>0</v>
      </c>
      <c r="M117" s="1203">
        <f t="shared" si="407"/>
        <v>0</v>
      </c>
      <c r="N117" s="1203">
        <f t="shared" si="407"/>
        <v>0</v>
      </c>
      <c r="O117" s="1203">
        <f t="shared" si="407"/>
        <v>0</v>
      </c>
      <c r="P117" s="1203">
        <f t="shared" si="407"/>
        <v>0</v>
      </c>
      <c r="Q117" s="1203">
        <f t="shared" si="407"/>
        <v>0</v>
      </c>
      <c r="R117" s="1203">
        <f t="shared" si="407"/>
        <v>0</v>
      </c>
      <c r="S117" s="1203">
        <f t="shared" si="407"/>
        <v>0</v>
      </c>
      <c r="T117" s="1203">
        <f t="shared" si="407"/>
        <v>0</v>
      </c>
      <c r="U117" s="1203">
        <f t="shared" si="407"/>
        <v>0</v>
      </c>
      <c r="V117" s="1203">
        <f t="shared" si="407"/>
        <v>0</v>
      </c>
      <c r="W117" s="1203">
        <f t="shared" si="407"/>
        <v>0</v>
      </c>
      <c r="X117" s="1203">
        <f t="shared" si="407"/>
        <v>0</v>
      </c>
      <c r="Y117" s="1203">
        <f t="shared" si="407"/>
        <v>0</v>
      </c>
      <c r="Z117" s="1203">
        <f t="shared" si="407"/>
        <v>0</v>
      </c>
      <c r="AA117" s="1203">
        <f t="shared" si="407"/>
        <v>0</v>
      </c>
      <c r="AB117" s="1203">
        <f t="shared" si="407"/>
        <v>0</v>
      </c>
      <c r="AC117" s="1203">
        <f t="shared" si="407"/>
        <v>0</v>
      </c>
      <c r="AD117" s="1203">
        <f t="shared" si="407"/>
        <v>0</v>
      </c>
      <c r="AE117" s="1203">
        <f t="shared" si="407"/>
        <v>0</v>
      </c>
      <c r="AF117" s="1203">
        <f t="shared" si="407"/>
        <v>0</v>
      </c>
      <c r="AG117" s="1203">
        <f t="shared" si="407"/>
        <v>0</v>
      </c>
      <c r="AH117" s="1203">
        <f t="shared" si="407"/>
        <v>0</v>
      </c>
      <c r="AI117" s="1203">
        <f t="shared" ref="AI117:BN117" si="408">AI54-AI116</f>
        <v>0</v>
      </c>
      <c r="AJ117" s="1203">
        <f t="shared" si="408"/>
        <v>0</v>
      </c>
      <c r="AK117" s="1203">
        <f t="shared" si="408"/>
        <v>0</v>
      </c>
      <c r="AL117" s="1203">
        <f t="shared" si="408"/>
        <v>0</v>
      </c>
      <c r="AM117" s="1203">
        <f t="shared" si="408"/>
        <v>0</v>
      </c>
      <c r="AN117" s="1203">
        <f t="shared" si="408"/>
        <v>0</v>
      </c>
      <c r="AO117" s="1203">
        <f t="shared" si="408"/>
        <v>0</v>
      </c>
      <c r="AP117" s="1203">
        <f t="shared" si="408"/>
        <v>0</v>
      </c>
      <c r="AQ117" s="1203">
        <f t="shared" si="408"/>
        <v>0</v>
      </c>
      <c r="AR117" s="1203">
        <f t="shared" si="408"/>
        <v>0</v>
      </c>
      <c r="AS117" s="1203">
        <f t="shared" si="408"/>
        <v>0</v>
      </c>
      <c r="AT117" s="1203">
        <f t="shared" si="408"/>
        <v>0</v>
      </c>
      <c r="AU117" s="1203">
        <f t="shared" si="408"/>
        <v>0</v>
      </c>
      <c r="AV117" s="1203">
        <f t="shared" si="408"/>
        <v>0</v>
      </c>
      <c r="AW117" s="1203">
        <f t="shared" si="408"/>
        <v>0</v>
      </c>
      <c r="AX117" s="1203">
        <f t="shared" si="408"/>
        <v>0</v>
      </c>
      <c r="AY117" s="1203">
        <f t="shared" si="408"/>
        <v>0</v>
      </c>
      <c r="AZ117" s="1203">
        <f t="shared" si="408"/>
        <v>0</v>
      </c>
      <c r="BA117" s="1203">
        <f t="shared" si="408"/>
        <v>0</v>
      </c>
      <c r="BB117" s="1203">
        <f t="shared" si="408"/>
        <v>0</v>
      </c>
      <c r="BC117" s="1203">
        <f t="shared" si="408"/>
        <v>0</v>
      </c>
      <c r="BD117" s="1203">
        <f t="shared" si="408"/>
        <v>0</v>
      </c>
      <c r="BE117" s="1203">
        <f t="shared" si="408"/>
        <v>0</v>
      </c>
      <c r="BF117" s="1203">
        <f t="shared" si="408"/>
        <v>0</v>
      </c>
      <c r="BG117" s="1203">
        <f t="shared" si="408"/>
        <v>0</v>
      </c>
      <c r="BH117" s="1203">
        <f t="shared" si="408"/>
        <v>0</v>
      </c>
      <c r="BI117" s="1203">
        <f t="shared" si="408"/>
        <v>0</v>
      </c>
      <c r="BJ117" s="1203">
        <f t="shared" si="408"/>
        <v>0</v>
      </c>
      <c r="BK117" s="1203">
        <f t="shared" si="408"/>
        <v>0</v>
      </c>
      <c r="BL117" s="1203">
        <f t="shared" si="408"/>
        <v>0</v>
      </c>
      <c r="BM117" s="1203">
        <f t="shared" si="408"/>
        <v>0</v>
      </c>
      <c r="BN117" s="1203">
        <f t="shared" si="408"/>
        <v>0</v>
      </c>
      <c r="BO117" s="1203">
        <f t="shared" ref="BO117:CG117" si="409">BO54-BO116</f>
        <v>0</v>
      </c>
      <c r="BP117" s="1203">
        <f t="shared" si="409"/>
        <v>0</v>
      </c>
      <c r="BQ117" s="1203">
        <f t="shared" si="409"/>
        <v>0</v>
      </c>
      <c r="BR117" s="1203">
        <f t="shared" si="409"/>
        <v>0</v>
      </c>
      <c r="BS117" s="1203">
        <f t="shared" si="409"/>
        <v>0</v>
      </c>
      <c r="BT117" s="1203">
        <f t="shared" si="409"/>
        <v>0</v>
      </c>
      <c r="BU117" s="1203">
        <f t="shared" si="409"/>
        <v>0</v>
      </c>
      <c r="BV117" s="1203">
        <f t="shared" si="409"/>
        <v>0</v>
      </c>
      <c r="BW117" s="1203">
        <f t="shared" si="409"/>
        <v>0</v>
      </c>
      <c r="BX117" s="1203">
        <f t="shared" si="409"/>
        <v>0</v>
      </c>
      <c r="BY117" s="1203">
        <f t="shared" si="409"/>
        <v>0</v>
      </c>
      <c r="BZ117" s="1203">
        <f t="shared" si="409"/>
        <v>0</v>
      </c>
      <c r="CA117" s="1203">
        <f t="shared" si="409"/>
        <v>0</v>
      </c>
      <c r="CB117" s="1203">
        <f t="shared" si="409"/>
        <v>0</v>
      </c>
      <c r="CC117" s="1203">
        <f t="shared" si="409"/>
        <v>0</v>
      </c>
      <c r="CD117" s="1203">
        <f t="shared" si="409"/>
        <v>0</v>
      </c>
      <c r="CE117" s="1203">
        <f t="shared" si="409"/>
        <v>0</v>
      </c>
      <c r="CF117" s="1203">
        <f t="shared" si="409"/>
        <v>0</v>
      </c>
      <c r="CG117" s="1203">
        <f t="shared" si="409"/>
        <v>0</v>
      </c>
    </row>
  </sheetData>
  <sheetProtection sheet="1" formatCells="0" formatColumns="0" formatRows="0" insertColumns="0"/>
  <mergeCells count="98">
    <mergeCell ref="A17:B17"/>
    <mergeCell ref="A25:B25"/>
    <mergeCell ref="A43:B43"/>
    <mergeCell ref="A32:B32"/>
    <mergeCell ref="A33:B33"/>
    <mergeCell ref="A34:B34"/>
    <mergeCell ref="A38:B38"/>
    <mergeCell ref="A39:B39"/>
    <mergeCell ref="A36:B36"/>
    <mergeCell ref="A26:B26"/>
    <mergeCell ref="A35:B35"/>
    <mergeCell ref="A22:B22"/>
    <mergeCell ref="A23:B23"/>
    <mergeCell ref="A6:B6"/>
    <mergeCell ref="A7:B7"/>
    <mergeCell ref="A8:B8"/>
    <mergeCell ref="A9:B9"/>
    <mergeCell ref="A10:B10"/>
    <mergeCell ref="A47:B47"/>
    <mergeCell ref="A42:B42"/>
    <mergeCell ref="A83:A84"/>
    <mergeCell ref="A85:B85"/>
    <mergeCell ref="A49:B49"/>
    <mergeCell ref="A48:B48"/>
    <mergeCell ref="A44:B44"/>
    <mergeCell ref="A86:B86"/>
    <mergeCell ref="A74:B74"/>
    <mergeCell ref="A45:B45"/>
    <mergeCell ref="A54:B54"/>
    <mergeCell ref="A53:B53"/>
    <mergeCell ref="A79:A80"/>
    <mergeCell ref="A51:B51"/>
    <mergeCell ref="A50:B50"/>
    <mergeCell ref="A81:A82"/>
    <mergeCell ref="A55:B55"/>
    <mergeCell ref="A56:B56"/>
    <mergeCell ref="A57:B57"/>
    <mergeCell ref="A73:CG73"/>
    <mergeCell ref="A46:B46"/>
    <mergeCell ref="A61:B61"/>
    <mergeCell ref="A52:B52"/>
    <mergeCell ref="CI74:CJ74"/>
    <mergeCell ref="T5:U5"/>
    <mergeCell ref="AH5:AI5"/>
    <mergeCell ref="BL5:BM5"/>
    <mergeCell ref="V5:AG5"/>
    <mergeCell ref="BH5:BK5"/>
    <mergeCell ref="AJ5:AS5"/>
    <mergeCell ref="AT5:AU5"/>
    <mergeCell ref="AJ56:AO56"/>
    <mergeCell ref="AJ57:AO57"/>
    <mergeCell ref="AV56:BA56"/>
    <mergeCell ref="AV57:BA57"/>
    <mergeCell ref="C2:CG2"/>
    <mergeCell ref="CA3:CG3"/>
    <mergeCell ref="BH3:BM3"/>
    <mergeCell ref="BN3:BZ3"/>
    <mergeCell ref="BY5:BZ5"/>
    <mergeCell ref="BN5:BX5"/>
    <mergeCell ref="CF5:CG5"/>
    <mergeCell ref="CA5:CE5"/>
    <mergeCell ref="C4:U4"/>
    <mergeCell ref="V4:AI4"/>
    <mergeCell ref="AJ4:AU4"/>
    <mergeCell ref="BH4:BM4"/>
    <mergeCell ref="BN4:BZ4"/>
    <mergeCell ref="CA4:CG4"/>
    <mergeCell ref="AV4:BG4"/>
    <mergeCell ref="C3:BG3"/>
    <mergeCell ref="DE13:DF13"/>
    <mergeCell ref="AV5:BE5"/>
    <mergeCell ref="BF5:BG5"/>
    <mergeCell ref="A29:B29"/>
    <mergeCell ref="A15:B15"/>
    <mergeCell ref="A18:B18"/>
    <mergeCell ref="A19:B19"/>
    <mergeCell ref="C5:S5"/>
    <mergeCell ref="A3:B5"/>
    <mergeCell ref="A14:B14"/>
    <mergeCell ref="A27:B27"/>
    <mergeCell ref="A28:B28"/>
    <mergeCell ref="A12:B12"/>
    <mergeCell ref="A13:B13"/>
    <mergeCell ref="A16:B16"/>
    <mergeCell ref="A20:B20"/>
    <mergeCell ref="DB13:DC13"/>
    <mergeCell ref="CP21:CQ21"/>
    <mergeCell ref="CS13:CT13"/>
    <mergeCell ref="CV13:CW13"/>
    <mergeCell ref="CY13:CZ13"/>
    <mergeCell ref="CM21:CN21"/>
    <mergeCell ref="A30:B30"/>
    <mergeCell ref="A31:B31"/>
    <mergeCell ref="A24:B24"/>
    <mergeCell ref="A41:B41"/>
    <mergeCell ref="A21:B21"/>
    <mergeCell ref="A37:B37"/>
    <mergeCell ref="A40:B40"/>
  </mergeCells>
  <phoneticPr fontId="55" type="noConversion"/>
  <conditionalFormatting sqref="C25:S25">
    <cfRule type="expression" dxfId="54" priority="7">
      <formula>OR(C17="Ja",)</formula>
    </cfRule>
  </conditionalFormatting>
  <conditionalFormatting sqref="T74">
    <cfRule type="expression" dxfId="53" priority="57">
      <formula>OR($T$54=0)</formula>
    </cfRule>
  </conditionalFormatting>
  <conditionalFormatting sqref="T81">
    <cfRule type="expression" dxfId="52" priority="325">
      <formula>OR($T$69=0)</formula>
    </cfRule>
  </conditionalFormatting>
  <conditionalFormatting sqref="T83">
    <cfRule type="expression" dxfId="51" priority="301">
      <formula>OR($T$70=0)</formula>
    </cfRule>
  </conditionalFormatting>
  <conditionalFormatting sqref="U74">
    <cfRule type="expression" dxfId="50" priority="55">
      <formula>OR($U$54=0)</formula>
    </cfRule>
  </conditionalFormatting>
  <conditionalFormatting sqref="U75:U79">
    <cfRule type="expression" dxfId="49" priority="339">
      <formula>OR($U$69=0)</formula>
    </cfRule>
  </conditionalFormatting>
  <conditionalFormatting sqref="U81">
    <cfRule type="expression" dxfId="48" priority="324">
      <formula>OR($U$69=0)</formula>
    </cfRule>
  </conditionalFormatting>
  <conditionalFormatting sqref="U83">
    <cfRule type="expression" dxfId="47" priority="300">
      <formula>OR($U$70=0)</formula>
    </cfRule>
  </conditionalFormatting>
  <conditionalFormatting sqref="V25:AG25">
    <cfRule type="expression" dxfId="46" priority="6">
      <formula>OR(V17="Ja",)</formula>
    </cfRule>
  </conditionalFormatting>
  <conditionalFormatting sqref="AH74">
    <cfRule type="expression" dxfId="45" priority="54">
      <formula>OR($AH$54=0)</formula>
    </cfRule>
  </conditionalFormatting>
  <conditionalFormatting sqref="AH75:AH80">
    <cfRule type="expression" dxfId="44" priority="13">
      <formula>OR($I$69=0)</formula>
    </cfRule>
  </conditionalFormatting>
  <conditionalFormatting sqref="AH81">
    <cfRule type="expression" dxfId="43" priority="290">
      <formula>OR($AH$69=0)</formula>
    </cfRule>
  </conditionalFormatting>
  <conditionalFormatting sqref="AH83">
    <cfRule type="expression" dxfId="42" priority="245">
      <formula>OR($I$70=0)</formula>
    </cfRule>
  </conditionalFormatting>
  <conditionalFormatting sqref="AI74">
    <cfRule type="expression" dxfId="41" priority="53">
      <formula>OR($AI$54=0)</formula>
    </cfRule>
  </conditionalFormatting>
  <conditionalFormatting sqref="AI75:AI79">
    <cfRule type="expression" dxfId="40" priority="289">
      <formula>OR(#REF!=0)</formula>
    </cfRule>
  </conditionalFormatting>
  <conditionalFormatting sqref="AI80">
    <cfRule type="expression" dxfId="39" priority="12">
      <formula>OR(#REF!=0)</formula>
    </cfRule>
  </conditionalFormatting>
  <conditionalFormatting sqref="AI81">
    <cfRule type="expression" dxfId="38" priority="280">
      <formula>OR(#REF!=0)</formula>
    </cfRule>
  </conditionalFormatting>
  <conditionalFormatting sqref="AI83">
    <cfRule type="expression" dxfId="37" priority="240">
      <formula>OR(#REF!=0)</formula>
    </cfRule>
  </conditionalFormatting>
  <conditionalFormatting sqref="AJ25:AS25">
    <cfRule type="expression" dxfId="36" priority="5">
      <formula>OR(AJ17="Ja",)</formula>
    </cfRule>
  </conditionalFormatting>
  <conditionalFormatting sqref="AT74">
    <cfRule type="expression" dxfId="35" priority="52">
      <formula>OR($AT$54=0)</formula>
    </cfRule>
  </conditionalFormatting>
  <conditionalFormatting sqref="AT75:AT79">
    <cfRule type="expression" dxfId="34" priority="268">
      <formula>OR($U$69=0)</formula>
    </cfRule>
  </conditionalFormatting>
  <conditionalFormatting sqref="AT81">
    <cfRule type="expression" dxfId="33" priority="253">
      <formula>OR($U$69=0)</formula>
    </cfRule>
  </conditionalFormatting>
  <conditionalFormatting sqref="AT83">
    <cfRule type="expression" dxfId="32" priority="229">
      <formula>OR($U$70=0)</formula>
    </cfRule>
  </conditionalFormatting>
  <conditionalFormatting sqref="AU74 BG74">
    <cfRule type="expression" dxfId="31" priority="51">
      <formula>OR($AU$54=0)</formula>
    </cfRule>
  </conditionalFormatting>
  <conditionalFormatting sqref="AU75:AU79 BG75:BG79 BG81">
    <cfRule type="expression" dxfId="30" priority="267">
      <formula>OR($V$69=0)</formula>
    </cfRule>
  </conditionalFormatting>
  <conditionalFormatting sqref="AU81">
    <cfRule type="expression" dxfId="29" priority="252">
      <formula>OR($V$69=0)</formula>
    </cfRule>
  </conditionalFormatting>
  <conditionalFormatting sqref="AU83 BG83">
    <cfRule type="expression" dxfId="28" priority="228">
      <formula>OR($V$70=0)</formula>
    </cfRule>
  </conditionalFormatting>
  <conditionalFormatting sqref="AV25:BE25">
    <cfRule type="expression" dxfId="27" priority="4">
      <formula>OR(AV17="Ja",)</formula>
    </cfRule>
  </conditionalFormatting>
  <conditionalFormatting sqref="BF74">
    <cfRule type="expression" dxfId="26" priority="8">
      <formula>OR($AT$54=0)</formula>
    </cfRule>
  </conditionalFormatting>
  <conditionalFormatting sqref="BF75:BF79">
    <cfRule type="expression" dxfId="25" priority="11">
      <formula>OR($U$69=0)</formula>
    </cfRule>
  </conditionalFormatting>
  <conditionalFormatting sqref="BF81">
    <cfRule type="expression" dxfId="24" priority="10">
      <formula>OR($U$69=0)</formula>
    </cfRule>
  </conditionalFormatting>
  <conditionalFormatting sqref="BF83">
    <cfRule type="expression" dxfId="23" priority="9">
      <formula>OR($U$70=0)</formula>
    </cfRule>
  </conditionalFormatting>
  <conditionalFormatting sqref="BH25:BK25">
    <cfRule type="expression" dxfId="22" priority="3">
      <formula>OR(BH17="Ja",)</formula>
    </cfRule>
  </conditionalFormatting>
  <conditionalFormatting sqref="BL74">
    <cfRule type="expression" dxfId="21" priority="50">
      <formula>OR($BL$54=0)</formula>
    </cfRule>
  </conditionalFormatting>
  <conditionalFormatting sqref="BL81">
    <cfRule type="expression" dxfId="20" priority="247">
      <formula>OR($AA$70=0)</formula>
    </cfRule>
  </conditionalFormatting>
  <conditionalFormatting sqref="BL83">
    <cfRule type="expression" dxfId="19" priority="223">
      <formula>OR($AA$70=0)</formula>
    </cfRule>
  </conditionalFormatting>
  <conditionalFormatting sqref="BM74">
    <cfRule type="expression" dxfId="18" priority="49">
      <formula>OR($BM$54=0)</formula>
    </cfRule>
  </conditionalFormatting>
  <conditionalFormatting sqref="BN25:BX25">
    <cfRule type="expression" dxfId="17" priority="2">
      <formula>OR(BN17="Ja",)</formula>
    </cfRule>
  </conditionalFormatting>
  <conditionalFormatting sqref="BY74">
    <cfRule type="expression" dxfId="16" priority="48">
      <formula>OR($BY$54=0)</formula>
    </cfRule>
  </conditionalFormatting>
  <conditionalFormatting sqref="BY75:BY79">
    <cfRule type="expression" dxfId="15" priority="216">
      <formula>OR($P$69=0)</formula>
    </cfRule>
  </conditionalFormatting>
  <conditionalFormatting sqref="BY81">
    <cfRule type="expression" dxfId="14" priority="201">
      <formula>OR($P$69=0)</formula>
    </cfRule>
  </conditionalFormatting>
  <conditionalFormatting sqref="BY83">
    <cfRule type="expression" dxfId="13" priority="184">
      <formula>OR($P$70=0)</formula>
    </cfRule>
  </conditionalFormatting>
  <conditionalFormatting sqref="BZ74">
    <cfRule type="expression" dxfId="12" priority="47">
      <formula>OR($BZ$54=0)</formula>
    </cfRule>
  </conditionalFormatting>
  <conditionalFormatting sqref="BZ75:BZ79">
    <cfRule type="expression" dxfId="11" priority="215">
      <formula>OR($Q$69=0)</formula>
    </cfRule>
  </conditionalFormatting>
  <conditionalFormatting sqref="BZ81">
    <cfRule type="expression" dxfId="10" priority="200">
      <formula>OR($Q$69=0)</formula>
    </cfRule>
  </conditionalFormatting>
  <conditionalFormatting sqref="BZ83">
    <cfRule type="expression" dxfId="9" priority="183">
      <formula>OR($Q$70=0)</formula>
    </cfRule>
  </conditionalFormatting>
  <conditionalFormatting sqref="CA25:CE25">
    <cfRule type="expression" dxfId="8" priority="1">
      <formula>OR(CA17="Ja",)</formula>
    </cfRule>
  </conditionalFormatting>
  <conditionalFormatting sqref="CF74">
    <cfRule type="expression" dxfId="7" priority="46">
      <formula>OR($CF$54=0)</formula>
    </cfRule>
  </conditionalFormatting>
  <conditionalFormatting sqref="CF75:CF79">
    <cfRule type="expression" dxfId="6" priority="209">
      <formula>OR($W$69=0)</formula>
    </cfRule>
  </conditionalFormatting>
  <conditionalFormatting sqref="CF81">
    <cfRule type="expression" dxfId="5" priority="194">
      <formula>OR($W$69=0)</formula>
    </cfRule>
  </conditionalFormatting>
  <conditionalFormatting sqref="CF83">
    <cfRule type="expression" dxfId="4" priority="177">
      <formula>OR($W$70=0)</formula>
    </cfRule>
  </conditionalFormatting>
  <conditionalFormatting sqref="CG74">
    <cfRule type="expression" dxfId="3" priority="45">
      <formula>OR($CG$54=0)</formula>
    </cfRule>
  </conditionalFormatting>
  <conditionalFormatting sqref="CG75:CG79">
    <cfRule type="expression" dxfId="2" priority="208">
      <formula>OR($X$69=0)</formula>
    </cfRule>
  </conditionalFormatting>
  <conditionalFormatting sqref="CG81">
    <cfRule type="expression" dxfId="1" priority="193">
      <formula>OR($X$69=0)</formula>
    </cfRule>
  </conditionalFormatting>
  <conditionalFormatting sqref="CG83">
    <cfRule type="expression" dxfId="0" priority="176">
      <formula>OR($X$70=0)</formula>
    </cfRule>
  </conditionalFormatting>
  <dataValidations count="9">
    <dataValidation allowBlank="1" showInputMessage="1" showErrorMessage="1" promptTitle="OBS" prompt="Timenlønnen oplyses i 12 kr." sqref="CF8:CG8 BY8:BZ8" xr:uid="{00000000-0002-0000-0800-000007000000}"/>
    <dataValidation allowBlank="1" showInputMessage="1" showErrorMessage="1" promptTitle="OBS" prompt="Er den ansatte under flexrefusion, skrives her refusionssatsen. Dette bruges til korrekt udregning af feriepengeforpligtigelse." sqref="C84:C86 AH85:AT86 D84:AT84 T85:V86 C74:CG74 C82:CG82 AU84:CG86" xr:uid="{00000000-0002-0000-0800-000008000000}"/>
    <dataValidation type="decimal" allowBlank="1" showInputMessage="1" showErrorMessage="1" sqref="C24:CG25 CF15:CG15 BY15:BZ15 BL15:BM15 BF15:BG15 AT15:AU15 AH15:AI15 T15:U15" xr:uid="{00000000-0002-0000-0800-000003000000}">
      <formula1>0</formula1>
      <formula2>42/37</formula2>
    </dataValidation>
    <dataValidation type="decimal" allowBlank="1" showInputMessage="1" showErrorMessage="1" sqref="C70:CG70 C62:CG68" xr:uid="{00000000-0002-0000-0800-000004000000}">
      <formula1>-500000</formula1>
      <formula2>-1</formula2>
    </dataValidation>
    <dataValidation type="list" allowBlank="1" showInputMessage="1" showErrorMessage="1" sqref="C16:CG16" xr:uid="{00000000-0002-0000-0800-000005000000}">
      <formula1>$CJ$12:$CJ$13</formula1>
    </dataValidation>
    <dataValidation type="decimal" allowBlank="1" showInputMessage="1" showErrorMessage="1" sqref="C10:CG10" xr:uid="{6134E07A-83D4-D74C-BE08-197491679898}">
      <formula1>0</formula1>
      <formula2>3</formula2>
    </dataValidation>
    <dataValidation type="decimal" allowBlank="1" showInputMessage="1" showErrorMessage="1" sqref="C11:CG11" xr:uid="{6159F0D9-C729-ED46-8EAC-B5DD96907E60}">
      <formula1>0</formula1>
      <formula2>4</formula2>
    </dataValidation>
    <dataValidation type="decimal" allowBlank="1" showInputMessage="1" showErrorMessage="1" sqref="C12:CG12" xr:uid="{EE79BB33-1A97-0E4B-8F48-2C8598925BFA}">
      <formula1>0</formula1>
      <formula2>5</formula2>
    </dataValidation>
    <dataValidation type="decimal" allowBlank="1" showInputMessage="1" showErrorMessage="1" sqref="C20:CG20" xr:uid="{6081CA1A-58D7-3142-8AF8-820A839B0086}">
      <formula1>0</formula1>
      <formula2>30</formula2>
    </dataValidation>
  </dataValidations>
  <pageMargins left="0.35433070866141736" right="0.35433070866141736" top="0.59055118110236227" bottom="0.59055118110236227" header="0.31496062992125984" footer="0.31496062992125984"/>
  <pageSetup paperSize="9" scale="10" orientation="portrait" r:id="rId1"/>
  <headerFooter alignWithMargins="0">
    <oddHeader>&amp;C&amp;"Helvetica,Fed"&amp;14Lønberegning Pædagoger, sekretær, pedel mv</oddHeader>
    <oddFooter>&amp;L&amp;G&amp;R
&amp;D
&amp;A</oddFooter>
  </headerFooter>
  <rowBreaks count="1" manualBreakCount="1">
    <brk id="57" max="16383" man="1"/>
  </rowBreaks>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A000000}">
          <x14:formula1>
            <xm:f>Grundlon!$A$17:$A$62</xm:f>
          </x14:formula1>
          <xm:sqref>V7:W7 C7:D7 BH7:BK7 CA7:CE7 BN7:BX7</xm:sqref>
        </x14:dataValidation>
        <x14:dataValidation type="list" allowBlank="1" showInputMessage="1" showErrorMessage="1" xr:uid="{9C688A53-A8D2-7940-9783-C986AEAABA21}">
          <x14:formula1>
            <xm:f>Grundlon!$A$19:$A$62</xm:f>
          </x14:formula1>
          <xm:sqref>AJ7:AS7 X7:AG7 E7:S7 AV7:BE7</xm:sqref>
        </x14:dataValidation>
        <x14:dataValidation type="list" allowBlank="1" showInputMessage="1" showErrorMessage="1" xr:uid="{00000000-0002-0000-0900-00000B000000}">
          <x14:formula1>
            <xm:f>Grundlon!$B$90:$B$91</xm:f>
          </x14:formula1>
          <xm:sqref>C21:CG21 BH15:BK15 C15:S15 V15:AG15 AJ15:AS15 AV15:BE15 C17:CG17 C18:S19 CA18:CE19 BN18:BX19 BH18:BK19 AV18:BE19 V18:AG19 AJ18:AS19 BN15:BX15 CA15:CE15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tabColor rgb="FFFFFF00"/>
  </sheetPr>
  <dimension ref="A1:I133"/>
  <sheetViews>
    <sheetView topLeftCell="B1" zoomScale="150" zoomScaleNormal="150" workbookViewId="0">
      <selection activeCell="E116" sqref="E116"/>
    </sheetView>
  </sheetViews>
  <sheetFormatPr baseColWidth="10" defaultColWidth="10.83203125" defaultRowHeight="14"/>
  <cols>
    <col min="1" max="1" width="4" style="33" customWidth="1"/>
    <col min="2" max="2" width="9.33203125" style="1056" customWidth="1"/>
    <col min="3" max="3" width="50.83203125" style="9" customWidth="1"/>
    <col min="4" max="5" width="13.1640625" style="9" customWidth="1"/>
    <col min="6" max="6" width="34.6640625" style="9" customWidth="1"/>
    <col min="7" max="7" width="7" style="9" customWidth="1"/>
    <col min="8" max="8" width="9.5" style="9" customWidth="1"/>
    <col min="9" max="9" width="9.33203125" style="9" customWidth="1"/>
    <col min="10" max="16384" width="10.83203125" style="9"/>
  </cols>
  <sheetData>
    <row r="1" spans="1:6" s="148" customFormat="1" ht="25.5" customHeight="1" thickBot="1">
      <c r="A1" s="147"/>
      <c r="B1" s="1054"/>
      <c r="F1" s="9"/>
    </row>
    <row r="2" spans="1:6" ht="82" customHeight="1" thickBot="1">
      <c r="A2" s="2959" t="s">
        <v>259</v>
      </c>
      <c r="B2" s="2960"/>
      <c r="C2" s="2960"/>
      <c r="D2" s="1149" t="s">
        <v>1158</v>
      </c>
      <c r="E2" s="1404" t="s">
        <v>576</v>
      </c>
      <c r="F2" s="1830" t="str">
        <f>"Ændringer i budgetår "&amp;E3+1&amp;" i forhold til "&amp;E3&amp;". Hvis ekstra udgifter påfør udgiften som et positivt tal. Hvis en lavere udgift, påfør den lavere udgift med et negativt tal. Tallene skal ses i forhold til Budgetåret "&amp;E3&amp;"."</f>
        <v>Ændringer i budgetår 2025 i forhold til 2024. Hvis ekstra udgifter påfør udgiften som et positivt tal. Hvis en lavere udgift, påfør den lavere udgift med et negativt tal. Tallene skal ses i forhold til Budgetåret 2024.</v>
      </c>
    </row>
    <row r="3" spans="1:6" ht="17" thickBot="1">
      <c r="A3" s="1850" t="s">
        <v>1111</v>
      </c>
      <c r="B3" s="1851" t="s">
        <v>1134</v>
      </c>
      <c r="C3" s="1852" t="s">
        <v>920</v>
      </c>
      <c r="D3" s="1853">
        <f>budgetår-1</f>
        <v>2023</v>
      </c>
      <c r="E3" s="1854">
        <f>budgetår</f>
        <v>2024</v>
      </c>
      <c r="F3" s="2168" t="str">
        <f>"Ændringer til "&amp;$E$3+1&amp;""</f>
        <v>Ændringer til 2025</v>
      </c>
    </row>
    <row r="4" spans="1:6" ht="16">
      <c r="A4" s="1855">
        <v>1</v>
      </c>
      <c r="B4" s="1087"/>
      <c r="C4" s="975" t="s">
        <v>1271</v>
      </c>
      <c r="D4" s="1025"/>
      <c r="E4" s="1020"/>
      <c r="F4" s="2178"/>
    </row>
    <row r="5" spans="1:6" ht="16">
      <c r="A5" s="1856">
        <f>A4+1</f>
        <v>2</v>
      </c>
      <c r="B5" s="1085"/>
      <c r="C5" s="958" t="s">
        <v>1272</v>
      </c>
      <c r="D5" s="1020"/>
      <c r="E5" s="1020"/>
      <c r="F5" s="2106"/>
    </row>
    <row r="6" spans="1:6" ht="16">
      <c r="A6" s="1856">
        <f t="shared" ref="A6:A85" si="0">A5+1</f>
        <v>3</v>
      </c>
      <c r="B6" s="1085"/>
      <c r="C6" s="958" t="s">
        <v>1273</v>
      </c>
      <c r="D6" s="1020"/>
      <c r="E6" s="1020"/>
      <c r="F6" s="2106"/>
    </row>
    <row r="7" spans="1:6" ht="16">
      <c r="A7" s="1856">
        <f t="shared" si="0"/>
        <v>4</v>
      </c>
      <c r="B7" s="1085"/>
      <c r="C7" s="958" t="s">
        <v>239</v>
      </c>
      <c r="D7" s="1020"/>
      <c r="E7" s="1020"/>
      <c r="F7" s="2106"/>
    </row>
    <row r="8" spans="1:6" ht="16">
      <c r="A8" s="1856">
        <f t="shared" si="0"/>
        <v>5</v>
      </c>
      <c r="B8" s="1085"/>
      <c r="C8" s="958" t="s">
        <v>126</v>
      </c>
      <c r="D8" s="1020"/>
      <c r="E8" s="1020"/>
      <c r="F8" s="2106"/>
    </row>
    <row r="9" spans="1:6" ht="16">
      <c r="A9" s="1856">
        <f t="shared" si="0"/>
        <v>6</v>
      </c>
      <c r="B9" s="1085"/>
      <c r="C9" s="958" t="s">
        <v>13</v>
      </c>
      <c r="D9" s="1020"/>
      <c r="E9" s="1020"/>
      <c r="F9" s="2106"/>
    </row>
    <row r="10" spans="1:6" ht="16">
      <c r="A10" s="1856">
        <f t="shared" si="0"/>
        <v>7</v>
      </c>
      <c r="B10" s="1085"/>
      <c r="C10" s="958" t="s">
        <v>1274</v>
      </c>
      <c r="D10" s="1020"/>
      <c r="E10" s="1020"/>
      <c r="F10" s="2106"/>
    </row>
    <row r="11" spans="1:6" ht="16">
      <c r="A11" s="1856">
        <f t="shared" si="0"/>
        <v>8</v>
      </c>
      <c r="B11" s="1085"/>
      <c r="C11" s="958" t="s">
        <v>1275</v>
      </c>
      <c r="D11" s="1020"/>
      <c r="E11" s="1020"/>
      <c r="F11" s="2113"/>
    </row>
    <row r="12" spans="1:6" ht="16">
      <c r="A12" s="1856">
        <f t="shared" si="0"/>
        <v>9</v>
      </c>
      <c r="B12" s="1086"/>
      <c r="C12" s="977" t="s">
        <v>1276</v>
      </c>
      <c r="D12" s="1020"/>
      <c r="E12" s="1020"/>
      <c r="F12" s="2106"/>
    </row>
    <row r="13" spans="1:6" ht="16">
      <c r="A13" s="1856">
        <f t="shared" si="0"/>
        <v>10</v>
      </c>
      <c r="B13" s="1085"/>
      <c r="C13" s="1022" t="s">
        <v>238</v>
      </c>
      <c r="D13" s="1020"/>
      <c r="E13" s="1020"/>
      <c r="F13" s="2106"/>
    </row>
    <row r="14" spans="1:6" ht="16">
      <c r="A14" s="1856">
        <f t="shared" si="0"/>
        <v>11</v>
      </c>
      <c r="B14" s="1085"/>
      <c r="C14" s="1022" t="s">
        <v>1277</v>
      </c>
      <c r="D14" s="1020"/>
      <c r="E14" s="1020"/>
      <c r="F14" s="2106"/>
    </row>
    <row r="15" spans="1:6" ht="16">
      <c r="A15" s="1856">
        <f t="shared" si="0"/>
        <v>12</v>
      </c>
      <c r="B15" s="1085"/>
      <c r="C15" s="1022" t="s">
        <v>127</v>
      </c>
      <c r="D15" s="1020"/>
      <c r="E15" s="1020"/>
      <c r="F15" s="2106"/>
    </row>
    <row r="16" spans="1:6" ht="16">
      <c r="A16" s="1856">
        <f t="shared" si="0"/>
        <v>13</v>
      </c>
      <c r="B16" s="1085"/>
      <c r="C16" s="1022" t="s">
        <v>1278</v>
      </c>
      <c r="D16" s="1020"/>
      <c r="E16" s="1020"/>
      <c r="F16" s="2106"/>
    </row>
    <row r="17" spans="1:9" ht="16">
      <c r="A17" s="1856"/>
      <c r="B17" s="1085"/>
      <c r="C17" s="1022"/>
      <c r="D17" s="1020"/>
      <c r="E17" s="1020"/>
      <c r="F17" s="2368"/>
    </row>
    <row r="18" spans="1:9" ht="16">
      <c r="A18" s="1856">
        <f>A16+1</f>
        <v>14</v>
      </c>
      <c r="B18" s="1085"/>
      <c r="C18" s="1022" t="s">
        <v>128</v>
      </c>
      <c r="D18" s="1020"/>
      <c r="E18" s="1020"/>
      <c r="F18" s="2106"/>
    </row>
    <row r="19" spans="1:9" ht="16">
      <c r="A19" s="976">
        <f t="shared" si="0"/>
        <v>15</v>
      </c>
      <c r="B19" s="1086"/>
      <c r="C19" s="1023" t="s">
        <v>129</v>
      </c>
      <c r="D19" s="1020"/>
      <c r="E19" s="1020"/>
      <c r="F19" s="2106"/>
    </row>
    <row r="20" spans="1:9" ht="17" thickBot="1">
      <c r="A20" s="1857"/>
      <c r="B20" s="1858"/>
      <c r="C20" s="1859" t="s">
        <v>58</v>
      </c>
      <c r="D20" s="1860">
        <f>SUM(D4:D19)</f>
        <v>0</v>
      </c>
      <c r="E20" s="2169">
        <f>SUM(E4:E19)</f>
        <v>0</v>
      </c>
      <c r="F20" s="2169">
        <f>SUM(F4:F19)</f>
        <v>0</v>
      </c>
    </row>
    <row r="21" spans="1:9" ht="17" thickBot="1">
      <c r="A21" s="1861" t="s">
        <v>1111</v>
      </c>
      <c r="B21" s="1862" t="str">
        <f>B3</f>
        <v>Kto.nr</v>
      </c>
      <c r="C21" s="1863" t="s">
        <v>119</v>
      </c>
      <c r="D21" s="1864">
        <f>budgetår-1</f>
        <v>2023</v>
      </c>
      <c r="E21" s="2170">
        <f>budgetår</f>
        <v>2024</v>
      </c>
      <c r="F21" s="2168" t="str">
        <f>"Ændringer til "&amp;$E$3+1&amp;""</f>
        <v>Ændringer til 2025</v>
      </c>
    </row>
    <row r="22" spans="1:9" ht="16">
      <c r="A22" s="1837">
        <v>1</v>
      </c>
      <c r="B22" s="1865"/>
      <c r="C22" s="1024" t="s">
        <v>807</v>
      </c>
      <c r="D22" s="1025"/>
      <c r="E22" s="2270"/>
      <c r="F22" s="2103"/>
    </row>
    <row r="23" spans="1:9" ht="16">
      <c r="A23" s="1837">
        <f>A22+1</f>
        <v>2</v>
      </c>
      <c r="B23" s="1090"/>
      <c r="C23" s="1022" t="s">
        <v>92</v>
      </c>
      <c r="D23" s="1020"/>
      <c r="E23" s="1021"/>
      <c r="F23" s="2103"/>
    </row>
    <row r="24" spans="1:9" ht="16">
      <c r="A24" s="1837">
        <f>A23+1</f>
        <v>3</v>
      </c>
      <c r="B24" s="1090"/>
      <c r="C24" s="1022"/>
      <c r="D24" s="1020"/>
      <c r="E24" s="958"/>
      <c r="F24" s="2103"/>
    </row>
    <row r="25" spans="1:9" ht="16">
      <c r="A25" s="1837">
        <f>A24+1</f>
        <v>4</v>
      </c>
      <c r="B25" s="1091"/>
      <c r="C25" s="1026"/>
      <c r="D25" s="1020"/>
      <c r="E25" s="1832"/>
      <c r="F25" s="2103"/>
    </row>
    <row r="26" spans="1:9" ht="17" thickBot="1">
      <c r="A26" s="1866"/>
      <c r="B26" s="1867"/>
      <c r="C26" s="1868" t="s">
        <v>93</v>
      </c>
      <c r="D26" s="1869">
        <f>SUM(D22:D25)</f>
        <v>0</v>
      </c>
      <c r="E26" s="2171">
        <f>SUM(E22:E25)</f>
        <v>0</v>
      </c>
      <c r="F26" s="2171">
        <f>SUM(F22:F25)</f>
        <v>0</v>
      </c>
    </row>
    <row r="27" spans="1:9" ht="16">
      <c r="A27" s="1870" t="s">
        <v>1111</v>
      </c>
      <c r="B27" s="1862" t="str">
        <f>B21</f>
        <v>Kto.nr</v>
      </c>
      <c r="C27" s="1863" t="s">
        <v>921</v>
      </c>
      <c r="D27" s="1864">
        <f>budgetår-1</f>
        <v>2023</v>
      </c>
      <c r="E27" s="2170">
        <f>budgetår</f>
        <v>2024</v>
      </c>
      <c r="F27" s="2167" t="str">
        <f>"Ændringer til "&amp;$E$3+1&amp;""</f>
        <v>Ændringer til 2025</v>
      </c>
    </row>
    <row r="28" spans="1:9" ht="16">
      <c r="A28" s="1855">
        <v>1</v>
      </c>
      <c r="B28" s="1865"/>
      <c r="C28" s="1024" t="s">
        <v>144</v>
      </c>
      <c r="D28" s="1025"/>
      <c r="E28" s="2270"/>
      <c r="F28" s="2103"/>
    </row>
    <row r="29" spans="1:9" ht="16">
      <c r="A29" s="1871">
        <v>2</v>
      </c>
      <c r="B29" s="1090"/>
      <c r="C29" s="1027" t="s">
        <v>166</v>
      </c>
      <c r="D29" s="1025"/>
      <c r="E29" s="1021"/>
      <c r="F29" s="2103"/>
    </row>
    <row r="30" spans="1:9" ht="16">
      <c r="A30" s="1871">
        <v>3</v>
      </c>
      <c r="B30" s="1090"/>
      <c r="C30" s="1027"/>
      <c r="D30" s="1025"/>
      <c r="E30" s="1849"/>
      <c r="F30" s="2103"/>
    </row>
    <row r="31" spans="1:9" ht="16">
      <c r="A31" s="976">
        <v>4</v>
      </c>
      <c r="B31" s="1091"/>
      <c r="C31" s="1028"/>
      <c r="D31" s="1020"/>
      <c r="E31" s="1832"/>
      <c r="F31" s="2103"/>
      <c r="I31" s="34"/>
    </row>
    <row r="32" spans="1:9" ht="17" thickBot="1">
      <c r="A32" s="1866"/>
      <c r="B32" s="1867"/>
      <c r="C32" s="1868" t="s">
        <v>922</v>
      </c>
      <c r="D32" s="1869">
        <f>SUM(D28:D31)</f>
        <v>0</v>
      </c>
      <c r="E32" s="2171">
        <f>SUM(E28:E31)</f>
        <v>0</v>
      </c>
      <c r="F32" s="2171">
        <f>SUM(F28:F31)</f>
        <v>0</v>
      </c>
    </row>
    <row r="33" spans="1:6" ht="16">
      <c r="A33" s="1870" t="s">
        <v>1111</v>
      </c>
      <c r="B33" s="1862" t="str">
        <f>B21</f>
        <v>Kto.nr</v>
      </c>
      <c r="C33" s="1863" t="s">
        <v>925</v>
      </c>
      <c r="D33" s="1864">
        <f>budgetår-1</f>
        <v>2023</v>
      </c>
      <c r="E33" s="2170">
        <f>budgetår</f>
        <v>2024</v>
      </c>
      <c r="F33" s="2167" t="str">
        <f>"Ændringer til "&amp;$E$3+1&amp;""</f>
        <v>Ændringer til 2025</v>
      </c>
    </row>
    <row r="34" spans="1:6" ht="16">
      <c r="A34" s="1855">
        <v>1</v>
      </c>
      <c r="B34" s="1087"/>
      <c r="C34" s="1024" t="s">
        <v>923</v>
      </c>
      <c r="D34" s="1025"/>
      <c r="E34" s="2270"/>
      <c r="F34" s="2179"/>
    </row>
    <row r="35" spans="1:6" ht="16">
      <c r="A35" s="1856">
        <f t="shared" si="0"/>
        <v>2</v>
      </c>
      <c r="B35" s="1085"/>
      <c r="C35" s="1022" t="s">
        <v>285</v>
      </c>
      <c r="D35" s="1020"/>
      <c r="E35" s="958"/>
      <c r="F35" s="2179"/>
    </row>
    <row r="36" spans="1:6" ht="16">
      <c r="A36" s="1856">
        <f t="shared" si="0"/>
        <v>3</v>
      </c>
      <c r="B36" s="1085"/>
      <c r="C36" s="1029"/>
      <c r="D36" s="1020"/>
      <c r="E36" s="958"/>
      <c r="F36" s="2103"/>
    </row>
    <row r="37" spans="1:6" ht="16">
      <c r="A37" s="1856">
        <v>4</v>
      </c>
      <c r="B37" s="1087"/>
      <c r="C37" s="1024"/>
      <c r="D37" s="1020"/>
      <c r="E37" s="975"/>
      <c r="F37" s="2103"/>
    </row>
    <row r="38" spans="1:6" ht="16">
      <c r="A38" s="976">
        <v>5</v>
      </c>
      <c r="B38" s="1086"/>
      <c r="C38" s="1030" t="s">
        <v>924</v>
      </c>
      <c r="D38" s="1020"/>
      <c r="E38" s="1832"/>
      <c r="F38" s="2103"/>
    </row>
    <row r="39" spans="1:6" ht="17" thickBot="1">
      <c r="A39" s="1866"/>
      <c r="B39" s="1867"/>
      <c r="C39" s="1868" t="s">
        <v>940</v>
      </c>
      <c r="D39" s="1869">
        <f>SUM(D34:D38)</f>
        <v>0</v>
      </c>
      <c r="E39" s="2171">
        <f>SUM(E34:E38)</f>
        <v>0</v>
      </c>
      <c r="F39" s="2171">
        <f>SUM(F34:F38)</f>
        <v>0</v>
      </c>
    </row>
    <row r="40" spans="1:6" ht="16">
      <c r="A40" s="1870" t="s">
        <v>1111</v>
      </c>
      <c r="B40" s="1862" t="str">
        <f>B27</f>
        <v>Kto.nr</v>
      </c>
      <c r="C40" s="1863" t="s">
        <v>926</v>
      </c>
      <c r="D40" s="1864">
        <f>budgetår-1</f>
        <v>2023</v>
      </c>
      <c r="E40" s="2170">
        <f>budgetår</f>
        <v>2024</v>
      </c>
      <c r="F40" s="2167" t="str">
        <f>"Ændringer til "&amp;$E$3+1&amp;""</f>
        <v>Ændringer til 2025</v>
      </c>
    </row>
    <row r="41" spans="1:6" ht="16">
      <c r="A41" s="1855">
        <v>1</v>
      </c>
      <c r="B41" s="1087"/>
      <c r="C41" s="1024" t="s">
        <v>923</v>
      </c>
      <c r="D41" s="1025"/>
      <c r="E41" s="2270"/>
      <c r="F41" s="2179"/>
    </row>
    <row r="42" spans="1:6" ht="16">
      <c r="A42" s="1856">
        <f t="shared" si="0"/>
        <v>2</v>
      </c>
      <c r="B42" s="1086"/>
      <c r="C42" s="977" t="s">
        <v>931</v>
      </c>
      <c r="D42" s="1020"/>
      <c r="E42" s="958"/>
      <c r="F42" s="2179"/>
    </row>
    <row r="43" spans="1:6" ht="16">
      <c r="A43" s="1856">
        <f t="shared" si="0"/>
        <v>3</v>
      </c>
      <c r="B43" s="1085"/>
      <c r="C43" s="1022"/>
      <c r="D43" s="1020"/>
      <c r="E43" s="958"/>
      <c r="F43" s="2179"/>
    </row>
    <row r="44" spans="1:6" ht="16">
      <c r="A44" s="1856">
        <f t="shared" si="0"/>
        <v>4</v>
      </c>
      <c r="B44" s="1085"/>
      <c r="C44" s="1022"/>
      <c r="D44" s="1020"/>
      <c r="E44" s="958"/>
      <c r="F44" s="2179"/>
    </row>
    <row r="45" spans="1:6" ht="16">
      <c r="A45" s="1856">
        <f t="shared" si="0"/>
        <v>5</v>
      </c>
      <c r="B45" s="1085"/>
      <c r="C45" s="1022"/>
      <c r="D45" s="1020"/>
      <c r="E45" s="958"/>
      <c r="F45" s="2179"/>
    </row>
    <row r="46" spans="1:6" ht="16">
      <c r="A46" s="1856">
        <f t="shared" si="0"/>
        <v>6</v>
      </c>
      <c r="B46" s="1085"/>
      <c r="C46" s="1022"/>
      <c r="D46" s="1020"/>
      <c r="E46" s="958"/>
      <c r="F46" s="2179"/>
    </row>
    <row r="47" spans="1:6" ht="16">
      <c r="A47" s="1856">
        <f t="shared" si="0"/>
        <v>7</v>
      </c>
      <c r="B47" s="1085"/>
      <c r="C47" s="1022"/>
      <c r="D47" s="1020"/>
      <c r="E47" s="958"/>
      <c r="F47" s="2179"/>
    </row>
    <row r="48" spans="1:6" ht="16">
      <c r="A48" s="1856">
        <v>9</v>
      </c>
      <c r="B48" s="1085"/>
      <c r="C48" s="1031" t="s">
        <v>927</v>
      </c>
      <c r="D48" s="1020"/>
      <c r="E48" s="958"/>
      <c r="F48" s="2179"/>
    </row>
    <row r="49" spans="1:6" ht="16">
      <c r="A49" s="1856">
        <f t="shared" si="0"/>
        <v>10</v>
      </c>
      <c r="B49" s="1085"/>
      <c r="C49" s="1032" t="s">
        <v>928</v>
      </c>
      <c r="D49" s="1020"/>
      <c r="E49" s="958"/>
      <c r="F49" s="2103"/>
    </row>
    <row r="50" spans="1:6" ht="16">
      <c r="A50" s="1856">
        <v>11</v>
      </c>
      <c r="B50" s="1087"/>
      <c r="C50" s="1033" t="s">
        <v>929</v>
      </c>
      <c r="D50" s="1020"/>
      <c r="E50" s="975"/>
      <c r="F50" s="2103"/>
    </row>
    <row r="51" spans="1:6" ht="16">
      <c r="A51" s="976">
        <f t="shared" si="0"/>
        <v>12</v>
      </c>
      <c r="B51" s="1086"/>
      <c r="C51" s="1030" t="s">
        <v>930</v>
      </c>
      <c r="D51" s="1020"/>
      <c r="E51" s="1832"/>
      <c r="F51" s="2103"/>
    </row>
    <row r="52" spans="1:6" ht="17" thickBot="1">
      <c r="A52" s="1866"/>
      <c r="B52" s="1867"/>
      <c r="C52" s="1868" t="s">
        <v>939</v>
      </c>
      <c r="D52" s="1869">
        <f>SUM(D41:D51)</f>
        <v>0</v>
      </c>
      <c r="E52" s="2171">
        <f>SUM(E41:E51)</f>
        <v>0</v>
      </c>
      <c r="F52" s="2171">
        <f>SUM(F41:F51)</f>
        <v>0</v>
      </c>
    </row>
    <row r="53" spans="1:6" ht="16">
      <c r="A53" s="1870" t="s">
        <v>1111</v>
      </c>
      <c r="B53" s="1862" t="str">
        <f>B40</f>
        <v>Kto.nr</v>
      </c>
      <c r="C53" s="1863" t="s">
        <v>932</v>
      </c>
      <c r="D53" s="1864">
        <f>budgetår-1</f>
        <v>2023</v>
      </c>
      <c r="E53" s="2170">
        <f>budgetår</f>
        <v>2024</v>
      </c>
      <c r="F53" s="2167" t="str">
        <f>"Ændringer til "&amp;$E$3+1&amp;""</f>
        <v>Ændringer til 2025</v>
      </c>
    </row>
    <row r="54" spans="1:6" ht="16">
      <c r="A54" s="1855">
        <v>1</v>
      </c>
      <c r="B54" s="1087"/>
      <c r="C54" s="1024" t="s">
        <v>933</v>
      </c>
      <c r="D54" s="1025"/>
      <c r="E54" s="2270"/>
      <c r="F54" s="2179"/>
    </row>
    <row r="55" spans="1:6" ht="16">
      <c r="A55" s="1856">
        <f t="shared" si="0"/>
        <v>2</v>
      </c>
      <c r="B55" s="1085"/>
      <c r="C55" s="1022" t="s">
        <v>934</v>
      </c>
      <c r="D55" s="1020"/>
      <c r="E55" s="1021"/>
      <c r="F55" s="2179"/>
    </row>
    <row r="56" spans="1:6" ht="16">
      <c r="A56" s="1856">
        <f t="shared" si="0"/>
        <v>3</v>
      </c>
      <c r="B56" s="1085"/>
      <c r="C56" s="1022"/>
      <c r="D56" s="1020"/>
      <c r="E56" s="958"/>
      <c r="F56" s="2103"/>
    </row>
    <row r="57" spans="1:6" ht="16">
      <c r="A57" s="1856">
        <f t="shared" si="0"/>
        <v>4</v>
      </c>
      <c r="B57" s="1085"/>
      <c r="C57" s="1031" t="s">
        <v>935</v>
      </c>
      <c r="D57" s="1020"/>
      <c r="E57" s="958"/>
      <c r="F57" s="2103"/>
    </row>
    <row r="58" spans="1:6" ht="16">
      <c r="A58" s="976">
        <v>5</v>
      </c>
      <c r="B58" s="1086"/>
      <c r="C58" s="1030" t="s">
        <v>936</v>
      </c>
      <c r="D58" s="1020"/>
      <c r="E58" s="1832"/>
      <c r="F58" s="2103"/>
    </row>
    <row r="59" spans="1:6" ht="17" thickBot="1">
      <c r="A59" s="1866"/>
      <c r="B59" s="1867"/>
      <c r="C59" s="1868" t="s">
        <v>938</v>
      </c>
      <c r="D59" s="1869">
        <f>SUM(D54:D58)</f>
        <v>0</v>
      </c>
      <c r="E59" s="2171">
        <f>SUM(E54:E58)</f>
        <v>0</v>
      </c>
      <c r="F59" s="2171">
        <f>SUM(F54:F58)</f>
        <v>0</v>
      </c>
    </row>
    <row r="60" spans="1:6" ht="16">
      <c r="A60" s="1861" t="s">
        <v>1111</v>
      </c>
      <c r="B60" s="1862" t="str">
        <f>B53</f>
        <v>Kto.nr</v>
      </c>
      <c r="C60" s="1863" t="s">
        <v>937</v>
      </c>
      <c r="D60" s="1864">
        <f>budgetår-1</f>
        <v>2023</v>
      </c>
      <c r="E60" s="2170">
        <f>budgetår</f>
        <v>2024</v>
      </c>
      <c r="F60" s="2167" t="str">
        <f>"Ændringer til "&amp;$E$3+1&amp;""</f>
        <v>Ændringer til 2025</v>
      </c>
    </row>
    <row r="61" spans="1:6" ht="16">
      <c r="A61" s="1855">
        <v>1</v>
      </c>
      <c r="B61" s="1087"/>
      <c r="C61" s="1024"/>
      <c r="D61" s="1025"/>
      <c r="E61" s="1948"/>
      <c r="F61" s="2103"/>
    </row>
    <row r="62" spans="1:6" ht="16">
      <c r="A62" s="976">
        <f t="shared" si="0"/>
        <v>2</v>
      </c>
      <c r="B62" s="1086"/>
      <c r="C62" s="1022"/>
      <c r="D62" s="1020"/>
      <c r="E62" s="1832"/>
      <c r="F62" s="2103"/>
    </row>
    <row r="63" spans="1:6" ht="17" thickBot="1">
      <c r="A63" s="1866"/>
      <c r="B63" s="1867"/>
      <c r="C63" s="1868" t="s">
        <v>941</v>
      </c>
      <c r="D63" s="1869">
        <f>SUM(D61:D62)</f>
        <v>0</v>
      </c>
      <c r="E63" s="2171">
        <f>SUM(E61:E62)</f>
        <v>0</v>
      </c>
      <c r="F63" s="2171">
        <f>SUM(F61:F62)</f>
        <v>0</v>
      </c>
    </row>
    <row r="64" spans="1:6" ht="16">
      <c r="A64" s="1872" t="s">
        <v>1111</v>
      </c>
      <c r="B64" s="1873" t="str">
        <f>B60</f>
        <v>Kto.nr</v>
      </c>
      <c r="C64" s="1874" t="s">
        <v>94</v>
      </c>
      <c r="D64" s="1864">
        <f>budgetår-1</f>
        <v>2023</v>
      </c>
      <c r="E64" s="2170">
        <f>budgetår</f>
        <v>2024</v>
      </c>
      <c r="F64" s="2167" t="str">
        <f>"Ændringer til "&amp;$E$3+1&amp;""</f>
        <v>Ændringer til 2025</v>
      </c>
    </row>
    <row r="65" spans="1:9" ht="16">
      <c r="A65" s="1875">
        <v>1</v>
      </c>
      <c r="B65" s="1876"/>
      <c r="C65" s="1877" t="s">
        <v>125</v>
      </c>
      <c r="D65" s="1020"/>
      <c r="E65" s="958"/>
      <c r="F65" s="2103"/>
    </row>
    <row r="66" spans="1:9" ht="16">
      <c r="A66" s="1856">
        <f t="shared" ref="A66:A71" si="1">A65+1</f>
        <v>2</v>
      </c>
      <c r="B66" s="1085"/>
      <c r="C66" s="1031" t="s">
        <v>942</v>
      </c>
      <c r="D66" s="1020"/>
      <c r="E66" s="958"/>
      <c r="F66" s="2103"/>
    </row>
    <row r="67" spans="1:9" ht="16">
      <c r="A67" s="1856">
        <f t="shared" si="1"/>
        <v>3</v>
      </c>
      <c r="B67" s="1085"/>
      <c r="C67" s="1031" t="s">
        <v>943</v>
      </c>
      <c r="D67" s="1020"/>
      <c r="E67" s="958"/>
      <c r="F67" s="2103"/>
    </row>
    <row r="68" spans="1:9" ht="16">
      <c r="A68" s="1856">
        <f t="shared" si="1"/>
        <v>4</v>
      </c>
      <c r="B68" s="1085"/>
      <c r="C68" s="1022"/>
      <c r="D68" s="1020"/>
      <c r="E68" s="958"/>
      <c r="F68" s="2103"/>
    </row>
    <row r="69" spans="1:9" ht="16">
      <c r="A69" s="1856">
        <f t="shared" si="1"/>
        <v>5</v>
      </c>
      <c r="B69" s="1085"/>
      <c r="C69" s="1022"/>
      <c r="D69" s="1020"/>
      <c r="E69" s="958"/>
      <c r="F69" s="2103"/>
    </row>
    <row r="70" spans="1:9" ht="16">
      <c r="A70" s="1856">
        <f t="shared" si="1"/>
        <v>6</v>
      </c>
      <c r="B70" s="1085"/>
      <c r="C70" s="1022"/>
      <c r="D70" s="1020"/>
      <c r="E70" s="958"/>
      <c r="F70" s="2103"/>
    </row>
    <row r="71" spans="1:9" ht="16">
      <c r="A71" s="1856">
        <f t="shared" si="1"/>
        <v>7</v>
      </c>
      <c r="B71" s="1086"/>
      <c r="C71" s="1026"/>
      <c r="D71" s="1020"/>
      <c r="E71" s="1832"/>
      <c r="F71" s="2103"/>
    </row>
    <row r="72" spans="1:9" ht="17" thickBot="1">
      <c r="A72" s="1878"/>
      <c r="B72" s="1867"/>
      <c r="C72" s="1879" t="s">
        <v>945</v>
      </c>
      <c r="D72" s="1880">
        <f>SUM(D65:D71)</f>
        <v>0</v>
      </c>
      <c r="E72" s="2172">
        <f>SUM(E65:E71)</f>
        <v>0</v>
      </c>
      <c r="F72" s="2172">
        <f>SUM(F65:F71)</f>
        <v>0</v>
      </c>
    </row>
    <row r="73" spans="1:9" ht="16">
      <c r="A73" s="1881" t="s">
        <v>1111</v>
      </c>
      <c r="B73" s="1882" t="str">
        <f>B64</f>
        <v>Kto.nr</v>
      </c>
      <c r="C73" s="1883" t="s">
        <v>1041</v>
      </c>
      <c r="D73" s="1884">
        <f>budgetår-1</f>
        <v>2023</v>
      </c>
      <c r="E73" s="2173">
        <f>budgetår</f>
        <v>2024</v>
      </c>
      <c r="F73" s="2167" t="str">
        <f>"Ændringer til "&amp;$E$3+1&amp;""</f>
        <v>Ændringer til 2025</v>
      </c>
    </row>
    <row r="74" spans="1:9" ht="16">
      <c r="A74" s="1034">
        <v>1</v>
      </c>
      <c r="B74" s="1092"/>
      <c r="C74" s="1035" t="s">
        <v>1036</v>
      </c>
      <c r="D74" s="1036"/>
      <c r="E74" s="1037"/>
      <c r="F74" s="2113"/>
    </row>
    <row r="75" spans="1:9" ht="16">
      <c r="A75" s="1855">
        <v>2</v>
      </c>
      <c r="B75" s="1087"/>
      <c r="C75" s="974"/>
      <c r="D75" s="975"/>
      <c r="E75" s="975"/>
      <c r="F75" s="2113"/>
    </row>
    <row r="76" spans="1:9" ht="16">
      <c r="A76" s="1856">
        <v>3</v>
      </c>
      <c r="B76" s="1085"/>
      <c r="C76" s="958"/>
      <c r="D76" s="936"/>
      <c r="E76" s="975"/>
      <c r="F76" s="2113"/>
    </row>
    <row r="77" spans="1:9" ht="16">
      <c r="A77" s="1856">
        <v>4</v>
      </c>
      <c r="B77" s="1085"/>
      <c r="C77" s="958"/>
      <c r="D77" s="936"/>
      <c r="E77" s="958"/>
      <c r="F77" s="2113"/>
    </row>
    <row r="78" spans="1:9" ht="16">
      <c r="A78" s="976">
        <v>5</v>
      </c>
      <c r="B78" s="1086"/>
      <c r="C78" s="977"/>
      <c r="D78" s="978"/>
      <c r="E78" s="977"/>
      <c r="F78" s="2113"/>
      <c r="H78" s="2796"/>
      <c r="I78" s="2796"/>
    </row>
    <row r="79" spans="1:9" ht="17" thickBot="1">
      <c r="A79" s="1885"/>
      <c r="B79" s="1886"/>
      <c r="C79" s="1887" t="s">
        <v>1042</v>
      </c>
      <c r="D79" s="1888">
        <f>SUM(D74:D78)</f>
        <v>0</v>
      </c>
      <c r="E79" s="1983">
        <f>SUM(E74:E78)</f>
        <v>0</v>
      </c>
      <c r="F79" s="1983">
        <f>SUM(F74:F78)</f>
        <v>0</v>
      </c>
      <c r="H79" s="33"/>
    </row>
    <row r="80" spans="1:9" ht="16">
      <c r="A80" s="1870" t="s">
        <v>1111</v>
      </c>
      <c r="B80" s="1862" t="str">
        <f>B73</f>
        <v>Kto.nr</v>
      </c>
      <c r="C80" s="1889" t="s">
        <v>946</v>
      </c>
      <c r="D80" s="1864">
        <f>budgetår-1</f>
        <v>2023</v>
      </c>
      <c r="E80" s="2170">
        <f>budgetår</f>
        <v>2024</v>
      </c>
      <c r="F80" s="2167" t="str">
        <f>"Ændringer til "&amp;$E$3+1&amp;""</f>
        <v>Ændringer til 2025</v>
      </c>
    </row>
    <row r="81" spans="1:6" ht="16">
      <c r="A81" s="1855">
        <v>1</v>
      </c>
      <c r="B81" s="1087"/>
      <c r="C81" s="1831" t="s">
        <v>123</v>
      </c>
      <c r="D81" s="1025"/>
      <c r="E81" s="2270"/>
      <c r="F81" s="2179"/>
    </row>
    <row r="82" spans="1:6" ht="16">
      <c r="A82" s="1856">
        <f t="shared" si="0"/>
        <v>2</v>
      </c>
      <c r="B82" s="1085"/>
      <c r="C82" s="1022" t="s">
        <v>947</v>
      </c>
      <c r="D82" s="1020"/>
      <c r="E82" s="1021"/>
      <c r="F82" s="2179"/>
    </row>
    <row r="83" spans="1:6" ht="15" customHeight="1">
      <c r="A83" s="1856">
        <f t="shared" si="0"/>
        <v>3</v>
      </c>
      <c r="B83" s="1085"/>
      <c r="C83" s="1038" t="s">
        <v>948</v>
      </c>
      <c r="D83" s="1020"/>
      <c r="E83" s="1021"/>
      <c r="F83" s="2179"/>
    </row>
    <row r="84" spans="1:6" ht="16">
      <c r="A84" s="1856">
        <f t="shared" si="0"/>
        <v>4</v>
      </c>
      <c r="B84" s="1090"/>
      <c r="C84" s="1890" t="s">
        <v>1370</v>
      </c>
      <c r="D84" s="1020"/>
      <c r="E84" s="1039"/>
      <c r="F84" s="2179"/>
    </row>
    <row r="85" spans="1:6" ht="16">
      <c r="A85" s="1856">
        <f t="shared" si="0"/>
        <v>5</v>
      </c>
      <c r="B85" s="1086"/>
      <c r="C85" s="1026"/>
      <c r="D85" s="1020"/>
      <c r="E85" s="1848"/>
      <c r="F85" s="2113"/>
    </row>
    <row r="86" spans="1:6" ht="17" thickBot="1">
      <c r="A86" s="1878"/>
      <c r="B86" s="1867"/>
      <c r="C86" s="1879" t="s">
        <v>949</v>
      </c>
      <c r="D86" s="1040">
        <f>SUM(D81:D85)</f>
        <v>0</v>
      </c>
      <c r="E86" s="2174">
        <f>SUM(E81:E85)</f>
        <v>0</v>
      </c>
      <c r="F86" s="2174">
        <f>SUM(F81:F85)</f>
        <v>0</v>
      </c>
    </row>
    <row r="87" spans="1:6" ht="16">
      <c r="A87" s="1861" t="s">
        <v>1111</v>
      </c>
      <c r="B87" s="1862" t="str">
        <f>B80</f>
        <v>Kto.nr</v>
      </c>
      <c r="C87" s="1863" t="s">
        <v>950</v>
      </c>
      <c r="D87" s="1891">
        <f>budgetår-1</f>
        <v>2023</v>
      </c>
      <c r="E87" s="2170">
        <f>budgetår</f>
        <v>2024</v>
      </c>
      <c r="F87" s="2167" t="str">
        <f>"Ændringer til "&amp;$E$3+1&amp;""</f>
        <v>Ændringer til 2025</v>
      </c>
    </row>
    <row r="88" spans="1:6" ht="16">
      <c r="A88" s="1875">
        <v>1</v>
      </c>
      <c r="B88" s="1876"/>
      <c r="C88" s="1831" t="s">
        <v>951</v>
      </c>
      <c r="D88" s="1892"/>
      <c r="E88" s="2175"/>
      <c r="F88" s="2179"/>
    </row>
    <row r="89" spans="1:6" ht="16">
      <c r="A89" s="1856">
        <f>A88+1</f>
        <v>2</v>
      </c>
      <c r="B89" s="1085"/>
      <c r="C89" s="1022"/>
      <c r="D89" s="1041"/>
      <c r="E89" s="1845"/>
      <c r="F89" s="2103"/>
    </row>
    <row r="90" spans="1:6" ht="16">
      <c r="A90" s="1856">
        <f>A89+1</f>
        <v>3</v>
      </c>
      <c r="B90" s="1085"/>
      <c r="C90" s="1022"/>
      <c r="D90" s="1042"/>
      <c r="E90" s="1846"/>
      <c r="F90" s="2179"/>
    </row>
    <row r="91" spans="1:6" ht="34">
      <c r="A91" s="1893">
        <f>A90+1</f>
        <v>4</v>
      </c>
      <c r="B91" s="1093"/>
      <c r="C91" s="1043" t="s">
        <v>1136</v>
      </c>
      <c r="D91" s="1044"/>
      <c r="E91" s="1847"/>
      <c r="F91" s="2103"/>
    </row>
    <row r="92" spans="1:6" ht="17" thickBot="1">
      <c r="A92" s="1866"/>
      <c r="B92" s="1867"/>
      <c r="C92" s="1868" t="s">
        <v>952</v>
      </c>
      <c r="D92" s="1869">
        <f>SUM(D88:D91)</f>
        <v>0</v>
      </c>
      <c r="E92" s="2171">
        <f>SUM(E88:E91)</f>
        <v>0</v>
      </c>
      <c r="F92" s="2171">
        <f>SUM(F88:F91)</f>
        <v>0</v>
      </c>
    </row>
    <row r="93" spans="1:6" ht="16">
      <c r="A93" s="1894" t="s">
        <v>1111</v>
      </c>
      <c r="B93" s="1895" t="str">
        <f>B87</f>
        <v>Kto.nr</v>
      </c>
      <c r="C93" s="1896" t="s">
        <v>183</v>
      </c>
      <c r="D93" s="1897">
        <f>budgetår-1</f>
        <v>2023</v>
      </c>
      <c r="E93" s="2176">
        <f>budgetår</f>
        <v>2024</v>
      </c>
      <c r="F93" s="2167" t="str">
        <f>"Ændringer til "&amp;$E$3+1&amp;""</f>
        <v>Ændringer til 2025</v>
      </c>
    </row>
    <row r="94" spans="1:6" ht="16">
      <c r="A94" s="1856">
        <v>1</v>
      </c>
      <c r="B94" s="1085"/>
      <c r="C94" s="958" t="s">
        <v>145</v>
      </c>
      <c r="D94" s="1020"/>
      <c r="E94" s="2270"/>
      <c r="F94" s="2106"/>
    </row>
    <row r="95" spans="1:6" ht="16">
      <c r="A95" s="1856">
        <f>A94+1</f>
        <v>2</v>
      </c>
      <c r="B95" s="1085"/>
      <c r="C95" s="958" t="s">
        <v>1371</v>
      </c>
      <c r="D95" s="1020"/>
      <c r="E95" s="1021"/>
      <c r="F95" s="2106"/>
    </row>
    <row r="96" spans="1:6" ht="16">
      <c r="A96" s="1856">
        <f t="shared" ref="A96:A108" si="2">A95+1</f>
        <v>3</v>
      </c>
      <c r="B96" s="1085"/>
      <c r="C96" s="958" t="s">
        <v>1372</v>
      </c>
      <c r="D96" s="1020"/>
      <c r="E96" s="1021"/>
      <c r="F96" s="2106"/>
    </row>
    <row r="97" spans="1:6" ht="16">
      <c r="A97" s="1856">
        <f t="shared" si="2"/>
        <v>4</v>
      </c>
      <c r="B97" s="1085"/>
      <c r="C97" s="958"/>
      <c r="D97" s="1020"/>
      <c r="E97" s="1021"/>
      <c r="F97" s="2106"/>
    </row>
    <row r="98" spans="1:6" ht="16">
      <c r="A98" s="1856">
        <f t="shared" si="2"/>
        <v>5</v>
      </c>
      <c r="B98" s="1085"/>
      <c r="C98" s="958"/>
      <c r="D98" s="1020"/>
      <c r="E98" s="1021"/>
      <c r="F98" s="2106"/>
    </row>
    <row r="99" spans="1:6" ht="16">
      <c r="A99" s="1856">
        <f t="shared" si="2"/>
        <v>6</v>
      </c>
      <c r="B99" s="1085"/>
      <c r="C99" s="958"/>
      <c r="D99" s="1020"/>
      <c r="E99" s="1021"/>
      <c r="F99" s="2106"/>
    </row>
    <row r="100" spans="1:6" ht="16">
      <c r="A100" s="1856">
        <f t="shared" si="2"/>
        <v>7</v>
      </c>
      <c r="B100" s="1085"/>
      <c r="C100" s="958"/>
      <c r="D100" s="1020"/>
      <c r="E100" s="1021"/>
      <c r="F100" s="2106"/>
    </row>
    <row r="101" spans="1:6" ht="16">
      <c r="A101" s="1856">
        <f t="shared" si="2"/>
        <v>8</v>
      </c>
      <c r="B101" s="1085"/>
      <c r="C101" s="958"/>
      <c r="D101" s="1020"/>
      <c r="E101" s="1021"/>
      <c r="F101" s="2113"/>
    </row>
    <row r="102" spans="1:6" ht="16">
      <c r="A102" s="1856">
        <f t="shared" si="2"/>
        <v>9</v>
      </c>
      <c r="B102" s="1086"/>
      <c r="C102" s="977"/>
      <c r="D102" s="1020"/>
      <c r="E102" s="1021"/>
      <c r="F102" s="2106"/>
    </row>
    <row r="103" spans="1:6" ht="16">
      <c r="A103" s="1856">
        <f t="shared" si="2"/>
        <v>10</v>
      </c>
      <c r="B103" s="1085"/>
      <c r="C103" s="1022"/>
      <c r="D103" s="1020"/>
      <c r="E103" s="958"/>
      <c r="F103" s="2106"/>
    </row>
    <row r="104" spans="1:6" ht="16">
      <c r="A104" s="1856">
        <f t="shared" si="2"/>
        <v>11</v>
      </c>
      <c r="B104" s="1085"/>
      <c r="C104" s="1022"/>
      <c r="D104" s="1020"/>
      <c r="E104" s="958"/>
      <c r="F104" s="2106"/>
    </row>
    <row r="105" spans="1:6" ht="16">
      <c r="A105" s="1856">
        <f t="shared" si="2"/>
        <v>12</v>
      </c>
      <c r="B105" s="1085"/>
      <c r="C105" s="1022"/>
      <c r="D105" s="1020"/>
      <c r="E105" s="958"/>
      <c r="F105" s="2106"/>
    </row>
    <row r="106" spans="1:6" ht="16">
      <c r="A106" s="1856">
        <f t="shared" si="2"/>
        <v>13</v>
      </c>
      <c r="B106" s="1085"/>
      <c r="C106" s="1022"/>
      <c r="D106" s="1020"/>
      <c r="E106" s="958"/>
      <c r="F106" s="2106"/>
    </row>
    <row r="107" spans="1:6" ht="16">
      <c r="A107" s="1856">
        <f t="shared" si="2"/>
        <v>14</v>
      </c>
      <c r="B107" s="1085"/>
      <c r="C107" s="1022"/>
      <c r="D107" s="1020"/>
      <c r="E107" s="958"/>
      <c r="F107" s="2106"/>
    </row>
    <row r="108" spans="1:6" ht="16">
      <c r="A108" s="976">
        <f t="shared" si="2"/>
        <v>15</v>
      </c>
      <c r="B108" s="1086"/>
      <c r="C108" s="1023"/>
      <c r="D108" s="1020"/>
      <c r="E108" s="1832"/>
      <c r="F108" s="2106"/>
    </row>
    <row r="109" spans="1:6" ht="17" thickBot="1">
      <c r="A109" s="1857"/>
      <c r="B109" s="1858"/>
      <c r="C109" s="1859" t="s">
        <v>953</v>
      </c>
      <c r="D109" s="1860">
        <f>SUM(D94:D108)</f>
        <v>0</v>
      </c>
      <c r="E109" s="2169">
        <f>SUM(E94:E108)</f>
        <v>0</v>
      </c>
      <c r="F109" s="2169">
        <f>SUM(F94:F108)</f>
        <v>0</v>
      </c>
    </row>
    <row r="110" spans="1:6" ht="17" thickBot="1">
      <c r="A110" s="1861" t="s">
        <v>1111</v>
      </c>
      <c r="B110" s="1862" t="str">
        <f>B93</f>
        <v>Kto.nr</v>
      </c>
      <c r="C110" s="1898" t="s">
        <v>954</v>
      </c>
      <c r="D110" s="1864">
        <f>budgetår-1</f>
        <v>2023</v>
      </c>
      <c r="E110" s="2170">
        <f>budgetår</f>
        <v>2024</v>
      </c>
      <c r="F110" s="2168" t="str">
        <f>"Ændringer til "&amp;$E$3+1&amp;""</f>
        <v>Ændringer til 2025</v>
      </c>
    </row>
    <row r="111" spans="1:6" ht="17" thickBot="1">
      <c r="A111" s="1899">
        <v>1</v>
      </c>
      <c r="B111" s="2311"/>
      <c r="C111" s="1900" t="str">
        <f>"Tilsynsførende med et elevtal på "&amp;elevtal_1</f>
        <v>Tilsynsførende med et elevtal på 0</v>
      </c>
      <c r="D111" s="1901">
        <f>IF(Forside!D31=0,0,IF(Forside!D31&lt;55,Tilsyn1,IF(AND(54&lt;Forside!D31,Forside!D31&lt;110),Tilsyn2,IF(AND(109&lt;Forside!D31,Forside!D31&lt;220),Tilsyn3,IF(219&lt;Forside!D31,Tilsyn4)))))</f>
        <v>0</v>
      </c>
      <c r="E111" s="2177">
        <f>IF(elevtal_1=0,0,IF(elevtal_1&lt;55,Tilsyn1,IF(AND(54&lt;elevtal_1,elevtal_1&lt;110),Tilsyn2,IF(AND(109&lt;elevtal_1,elevtal_1&lt;220),Tilsyn3,IF(219&lt;elevtal_1,Tilsyn4)))))</f>
        <v>0</v>
      </c>
      <c r="F111" s="2180"/>
    </row>
    <row r="112" spans="1:6" ht="16">
      <c r="A112" s="1866"/>
      <c r="B112" s="1858"/>
      <c r="C112" s="1902" t="s">
        <v>149</v>
      </c>
      <c r="D112" s="1045">
        <f>SUM(D111)</f>
        <v>0</v>
      </c>
      <c r="E112" s="1046">
        <f>SUM(E111)</f>
        <v>0</v>
      </c>
      <c r="F112" s="1046">
        <f>SUM(F111)</f>
        <v>0</v>
      </c>
    </row>
    <row r="113" spans="1:6" ht="17" thickBot="1">
      <c r="A113" s="1903"/>
      <c r="B113" s="1904"/>
      <c r="C113" s="1905" t="str">
        <f>"Underv.udg. i alt til hovedskema lin. 39 "</f>
        <v xml:space="preserve">Underv.udg. i alt til hovedskema lin. 39 </v>
      </c>
      <c r="D113" s="1906">
        <f>D20+D26+D39+D52+D59+D63+D72+D92+D109+D111+D86+D79+D32</f>
        <v>0</v>
      </c>
      <c r="E113" s="1907">
        <f>E112+E109+E92+E86+E79+E72+E63+E59+E52+E39+E32+E26+E20</f>
        <v>0</v>
      </c>
      <c r="F113" s="1907">
        <f>F112+F109+F92+F86+F79+F72+F63+F59+F52+F39+F32+F26+F20</f>
        <v>0</v>
      </c>
    </row>
    <row r="114" spans="1:6" ht="17" thickBot="1">
      <c r="A114" s="2957"/>
      <c r="B114" s="2957"/>
      <c r="C114" s="2957"/>
      <c r="D114" s="2957"/>
      <c r="E114" s="2958"/>
      <c r="F114" s="957"/>
    </row>
    <row r="115" spans="1:6" ht="17" thickBot="1">
      <c r="A115" s="1833" t="s">
        <v>1111</v>
      </c>
      <c r="B115" s="1834" t="str">
        <f>B3</f>
        <v>Kto.nr</v>
      </c>
      <c r="C115" s="1835" t="s">
        <v>194</v>
      </c>
      <c r="D115" s="1836">
        <f>budgetår-1</f>
        <v>2023</v>
      </c>
      <c r="E115" s="2164">
        <f>budgetår</f>
        <v>2024</v>
      </c>
      <c r="F115" s="2168" t="str">
        <f>"Ændringer til "&amp;$E$3+1&amp;""</f>
        <v>Ændringer til 2025</v>
      </c>
    </row>
    <row r="116" spans="1:6" ht="16">
      <c r="A116" s="1837">
        <v>1</v>
      </c>
      <c r="B116" s="1838"/>
      <c r="C116" s="1047" t="s">
        <v>103</v>
      </c>
      <c r="D116" s="1048"/>
      <c r="E116" s="2165"/>
      <c r="F116" s="2181"/>
    </row>
    <row r="117" spans="1:6" ht="16">
      <c r="A117" s="1837">
        <f>A116+1</f>
        <v>2</v>
      </c>
      <c r="B117" s="1094"/>
      <c r="C117" s="1049" t="s">
        <v>146</v>
      </c>
      <c r="D117" s="1050"/>
      <c r="E117" s="1051"/>
      <c r="F117" s="2113"/>
    </row>
    <row r="118" spans="1:6" ht="16">
      <c r="A118" s="1837">
        <v>3</v>
      </c>
      <c r="B118" s="1094"/>
      <c r="C118" s="1049" t="s">
        <v>955</v>
      </c>
      <c r="D118" s="1050"/>
      <c r="E118" s="1052"/>
      <c r="F118" s="2113"/>
    </row>
    <row r="119" spans="1:6" ht="16">
      <c r="A119" s="1837">
        <f>A118+1</f>
        <v>4</v>
      </c>
      <c r="B119" s="1094"/>
      <c r="C119" s="1049" t="s">
        <v>937</v>
      </c>
      <c r="D119" s="1050"/>
      <c r="E119" s="1051"/>
      <c r="F119" s="2113"/>
    </row>
    <row r="120" spans="1:6" ht="16">
      <c r="A120" s="1837">
        <f>A119+1</f>
        <v>5</v>
      </c>
      <c r="B120" s="1094"/>
      <c r="C120" s="1049" t="s">
        <v>125</v>
      </c>
      <c r="D120" s="1050"/>
      <c r="E120" s="1051"/>
      <c r="F120" s="2113"/>
    </row>
    <row r="121" spans="1:6" ht="16">
      <c r="A121" s="1837">
        <v>6</v>
      </c>
      <c r="B121" s="1094"/>
      <c r="C121" s="1049" t="s">
        <v>942</v>
      </c>
      <c r="D121" s="1050"/>
      <c r="E121" s="1052"/>
      <c r="F121" s="2113"/>
    </row>
    <row r="122" spans="1:6" ht="16">
      <c r="A122" s="1837">
        <v>7</v>
      </c>
      <c r="B122" s="1094"/>
      <c r="C122" s="1049" t="s">
        <v>943</v>
      </c>
      <c r="D122" s="1050"/>
      <c r="E122" s="1051"/>
      <c r="F122" s="2113"/>
    </row>
    <row r="123" spans="1:6" ht="16">
      <c r="A123" s="1837">
        <f>A122+1</f>
        <v>8</v>
      </c>
      <c r="B123" s="1094"/>
      <c r="C123" s="1049" t="s">
        <v>956</v>
      </c>
      <c r="D123" s="1050"/>
      <c r="E123" s="1051"/>
      <c r="F123" s="2113"/>
    </row>
    <row r="124" spans="1:6" ht="16">
      <c r="A124" s="1837">
        <f>A123+1</f>
        <v>9</v>
      </c>
      <c r="B124" s="1094"/>
      <c r="C124" s="1049" t="s">
        <v>183</v>
      </c>
      <c r="D124" s="1050"/>
      <c r="E124" s="1051"/>
      <c r="F124" s="2113"/>
    </row>
    <row r="125" spans="1:6" ht="16">
      <c r="A125" s="1837">
        <f>A124+1</f>
        <v>10</v>
      </c>
      <c r="B125" s="1094"/>
      <c r="C125" s="1049"/>
      <c r="D125" s="1050"/>
      <c r="E125" s="2166"/>
      <c r="F125" s="2113"/>
    </row>
    <row r="126" spans="1:6" ht="16">
      <c r="A126" s="1837">
        <f>A125+1</f>
        <v>11</v>
      </c>
      <c r="B126" s="1094"/>
      <c r="C126" s="1049"/>
      <c r="D126" s="1050"/>
      <c r="E126" s="2166"/>
      <c r="F126" s="2113"/>
    </row>
    <row r="127" spans="1:6" ht="16">
      <c r="A127" s="1837">
        <f>A126+1</f>
        <v>12</v>
      </c>
      <c r="B127" s="1094"/>
      <c r="C127" s="1049"/>
      <c r="D127" s="1050"/>
      <c r="E127" s="2166"/>
      <c r="F127" s="2113"/>
    </row>
    <row r="128" spans="1:6" ht="17" thickBot="1">
      <c r="A128" s="1839">
        <v>13</v>
      </c>
      <c r="B128" s="1095"/>
      <c r="C128" s="1053" t="s">
        <v>1043</v>
      </c>
      <c r="D128" s="1050"/>
      <c r="E128" s="2166"/>
      <c r="F128" s="2118"/>
    </row>
    <row r="129" spans="1:6" ht="17" thickBot="1">
      <c r="A129" s="1840" t="str">
        <f>"SFO udgifter i alt til hovedskema lin. 40 "</f>
        <v xml:space="preserve">SFO udgifter i alt til hovedskema lin. 40 </v>
      </c>
      <c r="B129" s="1841"/>
      <c r="C129" s="1842"/>
      <c r="D129" s="1843">
        <f>SUM(D116:D128)</f>
        <v>0</v>
      </c>
      <c r="E129" s="1844">
        <f>SUM(E116:E128)</f>
        <v>0</v>
      </c>
      <c r="F129" s="1844">
        <f>SUM(F116:F128)</f>
        <v>0</v>
      </c>
    </row>
    <row r="130" spans="1:6" ht="16">
      <c r="A130" s="964"/>
      <c r="B130" s="1908" t="str">
        <f>"Ændringer undervisningsudgifter "&amp;E3+1&amp;" i forhold til "&amp;E3&amp;" i alt:"</f>
        <v>Ændringer undervisningsudgifter 2025 i forhold til 2024 i alt:</v>
      </c>
      <c r="C130" s="1909"/>
      <c r="D130" s="1909"/>
      <c r="E130" s="1909"/>
      <c r="F130" s="1910">
        <f>SUM(F4:F19)+SUM(F22:F25)+SUM(F28:F31)+SUM(F34:F38)+SUM(F41:F51)+SUM(F54:F58)+SUM(F61:F62)+SUM(F65:F71)+SUM(F74:F78)+SUM(F81:F85)+SUM(F88:F91)+SUM(F94:F108)</f>
        <v>0</v>
      </c>
    </row>
    <row r="131" spans="1:6">
      <c r="A131" s="9"/>
      <c r="B131" s="1911" t="str">
        <f>"Ændringer i udgifter til SFO "&amp;E3+1&amp;" i forhold til "&amp;E3&amp;" i alt:"</f>
        <v>Ændringer i udgifter til SFO 2025 i forhold til 2024 i alt:</v>
      </c>
      <c r="C131" s="1912"/>
      <c r="D131" s="1912"/>
      <c r="E131" s="1912"/>
      <c r="F131" s="1912">
        <f>SUM(F116:F128)</f>
        <v>0</v>
      </c>
    </row>
    <row r="132" spans="1:6">
      <c r="A132" s="2796"/>
      <c r="B132" s="2796"/>
      <c r="C132" s="2796"/>
      <c r="F132" s="35"/>
    </row>
    <row r="133" spans="1:6">
      <c r="A133" s="36"/>
      <c r="B133" s="36"/>
      <c r="C133" s="36"/>
    </row>
  </sheetData>
  <sheetProtection sheet="1" formatCells="0" formatColumns="0" formatRows="0" insertRows="0"/>
  <mergeCells count="4">
    <mergeCell ref="H78:I78"/>
    <mergeCell ref="A132:C132"/>
    <mergeCell ref="A114:E114"/>
    <mergeCell ref="A2:C2"/>
  </mergeCells>
  <phoneticPr fontId="55" type="noConversion"/>
  <dataValidations count="1">
    <dataValidation type="whole" allowBlank="1" showInputMessage="1" showErrorMessage="1" sqref="D38:E38 D48:E51 D57:E58 D91:E91" xr:uid="{00000000-0002-0000-0900-000000000000}">
      <formula1>-1000000</formula1>
      <formula2>0</formula2>
    </dataValidation>
  </dataValidations>
  <printOptions horizontalCentered="1"/>
  <pageMargins left="0.79" right="0.67" top="0.98" bottom="0.83" header="0.51" footer="0.51"/>
  <pageSetup paperSize="9" scale="64" fitToHeight="2" orientation="portrait" horizontalDpi="4294967292" verticalDpi="4294967292"/>
  <headerFooter alignWithMargins="0">
    <oddHeader>&amp;C&amp;"Arial,Fed"&amp;12Undervisnings- omkostninger</oddHeader>
    <oddFooter>&amp;L&amp;G&amp;R
&amp;D
&amp;A</oddFooter>
  </headerFooter>
  <rowBreaks count="1" manualBreakCount="1">
    <brk id="72" max="5" man="1"/>
  </rowBreaks>
  <drawing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47"/>
  <sheetViews>
    <sheetView workbookViewId="0">
      <selection activeCell="L6" sqref="L6"/>
    </sheetView>
  </sheetViews>
  <sheetFormatPr baseColWidth="10" defaultColWidth="11.5" defaultRowHeight="13"/>
  <cols>
    <col min="2" max="2" width="15.33203125" customWidth="1"/>
    <col min="3" max="3" width="19.5" customWidth="1"/>
    <col min="4" max="4" width="25.5" customWidth="1"/>
    <col min="5" max="12" width="10.83203125" customWidth="1"/>
    <col min="13" max="13" width="15.83203125" customWidth="1"/>
    <col min="14" max="14" width="16.5" customWidth="1"/>
  </cols>
  <sheetData>
    <row r="1" spans="1:17" ht="36" customHeight="1" thickBot="1"/>
    <row r="2" spans="1:17" ht="13" customHeight="1">
      <c r="A2" s="2981" t="str">
        <f>"Heltidsskolefritidsordning budgetopstilling for "&amp;budgetår&amp;" samt "&amp;budgetår+1&amp;":"</f>
        <v>Heltidsskolefritidsordning budgetopstilling for 2024 samt 2025:</v>
      </c>
      <c r="B2" s="2982"/>
      <c r="C2" s="2982"/>
      <c r="D2" s="2982"/>
      <c r="E2" s="2982"/>
      <c r="F2" s="2982"/>
      <c r="G2" s="2982"/>
      <c r="H2" s="2982"/>
      <c r="I2" s="2982"/>
      <c r="J2" s="2982"/>
      <c r="K2" s="2982"/>
      <c r="L2" s="2982"/>
      <c r="M2" s="2982"/>
      <c r="N2" s="2983"/>
    </row>
    <row r="3" spans="1:17" ht="14" customHeight="1" thickBot="1">
      <c r="A3" s="2984"/>
      <c r="B3" s="2985"/>
      <c r="C3" s="2985"/>
      <c r="D3" s="2985"/>
      <c r="E3" s="2985"/>
      <c r="F3" s="2985"/>
      <c r="G3" s="2985"/>
      <c r="H3" s="2985"/>
      <c r="I3" s="2985"/>
      <c r="J3" s="2985"/>
      <c r="K3" s="2985"/>
      <c r="L3" s="2985"/>
      <c r="M3" s="2985"/>
      <c r="N3" s="2986"/>
    </row>
    <row r="4" spans="1:17" ht="35" customHeight="1" thickBot="1">
      <c r="A4" s="2987" t="s">
        <v>1289</v>
      </c>
      <c r="B4" s="1346"/>
      <c r="C4" s="1343" t="s">
        <v>104</v>
      </c>
      <c r="D4" s="1344" t="s">
        <v>895</v>
      </c>
      <c r="E4" s="2996" t="s">
        <v>1263</v>
      </c>
      <c r="F4" s="3006"/>
      <c r="G4" s="3006"/>
      <c r="H4" s="3006"/>
      <c r="I4" s="3006"/>
      <c r="J4" s="3006"/>
      <c r="K4" s="3006"/>
      <c r="L4" s="2997"/>
      <c r="M4" s="2996" t="s">
        <v>1266</v>
      </c>
      <c r="N4" s="2997"/>
      <c r="O4" s="1274"/>
      <c r="P4" s="1274"/>
      <c r="Q4" s="1274"/>
    </row>
    <row r="5" spans="1:17" ht="43" thickBot="1">
      <c r="A5" s="2987"/>
      <c r="B5" s="1347" t="s">
        <v>1128</v>
      </c>
      <c r="C5" s="1348" t="s">
        <v>104</v>
      </c>
      <c r="D5" s="1348" t="s">
        <v>1285</v>
      </c>
      <c r="E5" s="1351" t="s">
        <v>1254</v>
      </c>
      <c r="F5" s="1352" t="s">
        <v>1255</v>
      </c>
      <c r="G5" s="1352" t="s">
        <v>1256</v>
      </c>
      <c r="H5" s="1352" t="s">
        <v>1257</v>
      </c>
      <c r="I5" s="1352" t="s">
        <v>1252</v>
      </c>
      <c r="J5" s="1352" t="s">
        <v>1258</v>
      </c>
      <c r="K5" s="1353" t="s">
        <v>1270</v>
      </c>
      <c r="L5" s="1353" t="s">
        <v>1269</v>
      </c>
      <c r="M5" s="1354" t="s">
        <v>1264</v>
      </c>
      <c r="N5" s="1355" t="s">
        <v>1265</v>
      </c>
      <c r="O5" s="369"/>
      <c r="P5" s="369"/>
      <c r="Q5" s="1274"/>
    </row>
    <row r="6" spans="1:17" ht="16">
      <c r="A6" s="1363"/>
      <c r="B6" s="1345" t="s">
        <v>141</v>
      </c>
      <c r="C6" s="1382"/>
      <c r="D6" s="1370"/>
      <c r="E6" s="1349"/>
      <c r="F6" s="1350"/>
      <c r="G6" s="1350"/>
      <c r="H6" s="1350"/>
      <c r="I6" s="1350"/>
      <c r="J6" s="1350"/>
      <c r="K6" s="1350"/>
      <c r="L6" s="1350"/>
      <c r="M6" s="1376">
        <f t="shared" ref="M6:M11" si="0">SUM(E6:L6)*C6-(L6*C6)</f>
        <v>0</v>
      </c>
      <c r="N6" s="1377" cm="1">
        <f t="array" ref="N6">SUM((E6:L6)*D6)-K6*D6</f>
        <v>0</v>
      </c>
      <c r="O6" s="752">
        <f>SUM(E6:J11)</f>
        <v>0</v>
      </c>
      <c r="P6" s="369"/>
      <c r="Q6" s="1274"/>
    </row>
    <row r="7" spans="1:17" ht="16">
      <c r="A7" s="1364"/>
      <c r="B7" s="983" t="s">
        <v>287</v>
      </c>
      <c r="C7" s="1383"/>
      <c r="D7" s="1371"/>
      <c r="E7" s="1309"/>
      <c r="F7" s="1304"/>
      <c r="G7" s="1304"/>
      <c r="H7" s="1304"/>
      <c r="I7" s="1304"/>
      <c r="J7" s="1304"/>
      <c r="K7" s="1304"/>
      <c r="L7" s="1304"/>
      <c r="M7" s="1378">
        <f t="shared" si="0"/>
        <v>0</v>
      </c>
      <c r="N7" s="1379" cm="1">
        <f t="array" ref="N7">SUM((E7:L7)*D7)-(K7*D7)</f>
        <v>0</v>
      </c>
      <c r="O7" s="752"/>
      <c r="P7" s="369"/>
      <c r="Q7" s="1274"/>
    </row>
    <row r="8" spans="1:17" ht="16">
      <c r="A8" s="1364"/>
      <c r="B8" s="983" t="s">
        <v>250</v>
      </c>
      <c r="C8" s="1384"/>
      <c r="D8" s="1372"/>
      <c r="E8" s="1309"/>
      <c r="F8" s="1304"/>
      <c r="G8" s="1304"/>
      <c r="H8" s="1304"/>
      <c r="I8" s="1304"/>
      <c r="J8" s="1304"/>
      <c r="K8" s="1304"/>
      <c r="L8" s="1304"/>
      <c r="M8" s="1378">
        <f t="shared" si="0"/>
        <v>0</v>
      </c>
      <c r="N8" s="1379" cm="1">
        <f t="array" ref="N8">SUM((E8:L8)*D8)-(K8*D8)</f>
        <v>0</v>
      </c>
      <c r="O8" s="752">
        <f>O6-O7</f>
        <v>0</v>
      </c>
      <c r="P8" s="369"/>
      <c r="Q8" s="1274"/>
    </row>
    <row r="9" spans="1:17" ht="16">
      <c r="A9" s="1364"/>
      <c r="B9" s="983" t="s">
        <v>251</v>
      </c>
      <c r="C9" s="1383"/>
      <c r="D9" s="1371"/>
      <c r="E9" s="1309"/>
      <c r="F9" s="1304"/>
      <c r="G9" s="1304"/>
      <c r="H9" s="1304"/>
      <c r="I9" s="1304"/>
      <c r="J9" s="1304"/>
      <c r="K9" s="1304"/>
      <c r="L9" s="1304"/>
      <c r="M9" s="1378">
        <f t="shared" si="0"/>
        <v>0</v>
      </c>
      <c r="N9" s="1379" cm="1">
        <f t="array" ref="N9">SUM((E9:L9)*D9)-(K9*D9)</f>
        <v>0</v>
      </c>
      <c r="O9" s="369">
        <f>COUNTIF(E6:J6,"&gt;0")</f>
        <v>0</v>
      </c>
      <c r="P9" s="369">
        <f>COUNTIF(K6,"&gt;0")</f>
        <v>0</v>
      </c>
      <c r="Q9" s="1274"/>
    </row>
    <row r="10" spans="1:17" ht="16">
      <c r="A10" s="1364"/>
      <c r="B10" s="985" t="s">
        <v>896</v>
      </c>
      <c r="C10" s="1384"/>
      <c r="D10" s="1372"/>
      <c r="E10" s="1309"/>
      <c r="F10" s="1304"/>
      <c r="G10" s="1304"/>
      <c r="H10" s="1304"/>
      <c r="I10" s="1304"/>
      <c r="J10" s="1304"/>
      <c r="K10" s="1304"/>
      <c r="L10" s="1304"/>
      <c r="M10" s="1378">
        <f t="shared" si="0"/>
        <v>0</v>
      </c>
      <c r="N10" s="1379" cm="1">
        <f t="array" ref="N10">SUM((E10:L10)*D10)-(K10*D10)</f>
        <v>0</v>
      </c>
      <c r="O10" s="369" t="e">
        <f>O8/O9</f>
        <v>#DIV/0!</v>
      </c>
      <c r="P10" s="369"/>
      <c r="Q10" s="1274"/>
    </row>
    <row r="11" spans="1:17" ht="17" thickBot="1">
      <c r="A11" s="1365"/>
      <c r="B11" s="985" t="s">
        <v>897</v>
      </c>
      <c r="C11" s="1385"/>
      <c r="D11" s="1373"/>
      <c r="E11" s="1317"/>
      <c r="F11" s="1305"/>
      <c r="G11" s="1305"/>
      <c r="H11" s="1305"/>
      <c r="I11" s="1305"/>
      <c r="J11" s="1305"/>
      <c r="K11" s="1305"/>
      <c r="L11" s="1305"/>
      <c r="M11" s="1378">
        <f t="shared" si="0"/>
        <v>0</v>
      </c>
      <c r="N11" s="1379" cm="1">
        <f t="array" ref="N11">SUM((E11:L11)*D11)-(K11*D11)</f>
        <v>0</v>
      </c>
      <c r="O11" s="369"/>
      <c r="P11" s="369"/>
      <c r="Q11" s="1274"/>
    </row>
    <row r="12" spans="1:17" ht="17" thickBot="1">
      <c r="A12" s="2988" t="str">
        <f>"Indtægter i alt til hovedskema. Lin. 20 og 27"</f>
        <v>Indtægter i alt til hovedskema. Lin. 20 og 27</v>
      </c>
      <c r="B12" s="2988"/>
      <c r="C12" s="2988"/>
      <c r="D12" s="2988"/>
      <c r="E12" s="2988"/>
      <c r="F12" s="2988"/>
      <c r="G12" s="2988"/>
      <c r="H12" s="2988"/>
      <c r="I12" s="2988"/>
      <c r="J12" s="2988"/>
      <c r="K12" s="2988"/>
      <c r="L12" s="2989"/>
      <c r="M12" s="1380">
        <f>SUM(M6:M11)</f>
        <v>0</v>
      </c>
      <c r="N12" s="1381">
        <f>SUM(N6:N11)</f>
        <v>0</v>
      </c>
      <c r="O12" s="369"/>
      <c r="P12" s="1274"/>
      <c r="Q12" s="1274"/>
    </row>
    <row r="13" spans="1:17" ht="13" customHeight="1">
      <c r="A13" s="2990" t="s">
        <v>1286</v>
      </c>
      <c r="B13" s="2991"/>
      <c r="C13" s="2991"/>
      <c r="D13" s="2991"/>
      <c r="E13" s="2991"/>
      <c r="F13" s="2991"/>
      <c r="G13" s="2991"/>
      <c r="H13" s="2991"/>
      <c r="I13" s="2991"/>
      <c r="J13" s="2991"/>
      <c r="K13" s="2991"/>
      <c r="L13" s="2991"/>
      <c r="M13" s="2991"/>
      <c r="N13" s="2992"/>
      <c r="O13" s="369"/>
      <c r="P13" s="1274"/>
      <c r="Q13" s="1274"/>
    </row>
    <row r="14" spans="1:17" ht="14" customHeight="1" thickBot="1">
      <c r="A14" s="2993"/>
      <c r="B14" s="2994"/>
      <c r="C14" s="2994"/>
      <c r="D14" s="2994"/>
      <c r="E14" s="2994"/>
      <c r="F14" s="2994"/>
      <c r="G14" s="2994"/>
      <c r="H14" s="2994"/>
      <c r="I14" s="2994"/>
      <c r="J14" s="2994"/>
      <c r="K14" s="2994"/>
      <c r="L14" s="2994"/>
      <c r="M14" s="2994"/>
      <c r="N14" s="2995"/>
    </row>
    <row r="15" spans="1:17" ht="16">
      <c r="A15" s="1366"/>
      <c r="B15" s="1302" t="s">
        <v>103</v>
      </c>
      <c r="C15" s="1303"/>
      <c r="D15" s="1303"/>
      <c r="E15" s="1303"/>
      <c r="F15" s="1303"/>
      <c r="G15" s="1303"/>
      <c r="H15" s="1303"/>
      <c r="I15" s="1303"/>
      <c r="J15" s="1303"/>
      <c r="K15" s="1303"/>
      <c r="L15" s="1303"/>
      <c r="M15" s="2998"/>
      <c r="N15" s="2999"/>
    </row>
    <row r="16" spans="1:17" ht="16">
      <c r="A16" s="1364"/>
      <c r="B16" s="1339" t="s">
        <v>166</v>
      </c>
      <c r="C16" s="1340"/>
      <c r="D16" s="1340"/>
      <c r="E16" s="1340"/>
      <c r="F16" s="1340"/>
      <c r="G16" s="1340"/>
      <c r="H16" s="1340"/>
      <c r="I16" s="1340"/>
      <c r="J16" s="1340"/>
      <c r="K16" s="1340"/>
      <c r="L16" s="1340"/>
      <c r="M16" s="3000"/>
      <c r="N16" s="3001"/>
    </row>
    <row r="17" spans="1:14" ht="16">
      <c r="A17" s="1364"/>
      <c r="B17" s="1339"/>
      <c r="C17" s="1340"/>
      <c r="D17" s="1340"/>
      <c r="E17" s="1340"/>
      <c r="F17" s="1340"/>
      <c r="G17" s="1340"/>
      <c r="H17" s="1340"/>
      <c r="I17" s="1340"/>
      <c r="J17" s="1340"/>
      <c r="K17" s="1340"/>
      <c r="L17" s="1340"/>
      <c r="M17" s="3000"/>
      <c r="N17" s="3001"/>
    </row>
    <row r="18" spans="1:14" ht="16">
      <c r="A18" s="1364"/>
      <c r="B18" s="1339"/>
      <c r="C18" s="1340"/>
      <c r="D18" s="1340"/>
      <c r="E18" s="1340"/>
      <c r="F18" s="1340"/>
      <c r="G18" s="1340"/>
      <c r="H18" s="1340"/>
      <c r="I18" s="1340"/>
      <c r="J18" s="1340"/>
      <c r="K18" s="1340"/>
      <c r="L18" s="1340"/>
      <c r="M18" s="3000"/>
      <c r="N18" s="3001"/>
    </row>
    <row r="19" spans="1:14" ht="17" thickBot="1">
      <c r="A19" s="1365"/>
      <c r="B19" s="1339"/>
      <c r="C19" s="1340"/>
      <c r="D19" s="1340"/>
      <c r="E19" s="1340"/>
      <c r="F19" s="1340"/>
      <c r="G19" s="1340"/>
      <c r="H19" s="1340"/>
      <c r="I19" s="1340"/>
      <c r="J19" s="1340"/>
      <c r="K19" s="1340"/>
      <c r="L19" s="1340"/>
      <c r="M19" s="3002"/>
      <c r="N19" s="3003"/>
    </row>
    <row r="20" spans="1:14" ht="17" thickBot="1">
      <c r="A20" s="3007" t="s">
        <v>1298</v>
      </c>
      <c r="B20" s="3007"/>
      <c r="C20" s="3007"/>
      <c r="D20" s="3007"/>
      <c r="E20" s="3007"/>
      <c r="F20" s="3007"/>
      <c r="G20" s="3007"/>
      <c r="H20" s="3007"/>
      <c r="I20" s="3007"/>
      <c r="J20" s="3007"/>
      <c r="K20" s="3007"/>
      <c r="L20" s="3007"/>
      <c r="M20" s="3004">
        <f>SUM(M15:N19)</f>
        <v>0</v>
      </c>
      <c r="N20" s="3005"/>
    </row>
    <row r="21" spans="1:14" ht="13" customHeight="1">
      <c r="A21" s="2990" t="s">
        <v>1287</v>
      </c>
      <c r="B21" s="2991"/>
      <c r="C21" s="2991"/>
      <c r="D21" s="2991"/>
      <c r="E21" s="2991"/>
      <c r="F21" s="2991"/>
      <c r="G21" s="2991"/>
      <c r="H21" s="2991"/>
      <c r="I21" s="2991"/>
      <c r="J21" s="2991"/>
      <c r="K21" s="2991"/>
      <c r="L21" s="2991"/>
      <c r="M21" s="2991"/>
      <c r="N21" s="2992"/>
    </row>
    <row r="22" spans="1:14" ht="14" customHeight="1" thickBot="1">
      <c r="A22" s="2993"/>
      <c r="B22" s="2994"/>
      <c r="C22" s="2994"/>
      <c r="D22" s="2994"/>
      <c r="E22" s="2994"/>
      <c r="F22" s="2994"/>
      <c r="G22" s="2994"/>
      <c r="H22" s="2994"/>
      <c r="I22" s="2994"/>
      <c r="J22" s="2994"/>
      <c r="K22" s="2994"/>
      <c r="L22" s="2994"/>
      <c r="M22" s="2994"/>
      <c r="N22" s="2995"/>
    </row>
    <row r="23" spans="1:14" ht="16">
      <c r="A23" s="1366"/>
      <c r="B23" s="1341" t="s">
        <v>1055</v>
      </c>
      <c r="C23" s="1341"/>
      <c r="D23" s="1341"/>
      <c r="E23" s="1341"/>
      <c r="F23" s="1341"/>
      <c r="G23" s="1341"/>
      <c r="H23" s="1341"/>
      <c r="I23" s="1341"/>
      <c r="J23" s="1341"/>
      <c r="K23" s="1341"/>
      <c r="L23" s="1341"/>
      <c r="M23" s="2998"/>
      <c r="N23" s="2999"/>
    </row>
    <row r="24" spans="1:14" ht="16">
      <c r="A24" s="1364"/>
      <c r="B24" s="1342"/>
      <c r="C24" s="1340"/>
      <c r="D24" s="1340"/>
      <c r="E24" s="1340"/>
      <c r="F24" s="1340"/>
      <c r="G24" s="1340"/>
      <c r="H24" s="1340"/>
      <c r="I24" s="1340"/>
      <c r="J24" s="1340"/>
      <c r="K24" s="1340"/>
      <c r="L24" s="1340"/>
      <c r="M24" s="3024"/>
      <c r="N24" s="3025"/>
    </row>
    <row r="25" spans="1:14" ht="16">
      <c r="A25" s="1364"/>
      <c r="B25" s="1342"/>
      <c r="C25" s="1340"/>
      <c r="D25" s="1340"/>
      <c r="E25" s="1340"/>
      <c r="F25" s="1340"/>
      <c r="G25" s="1340"/>
      <c r="H25" s="1340"/>
      <c r="I25" s="1340"/>
      <c r="J25" s="1340"/>
      <c r="K25" s="1340"/>
      <c r="L25" s="1340"/>
      <c r="M25" s="3024"/>
      <c r="N25" s="3025"/>
    </row>
    <row r="26" spans="1:14" ht="16">
      <c r="A26" s="1364"/>
      <c r="B26" s="1342"/>
      <c r="C26" s="1340"/>
      <c r="D26" s="1340"/>
      <c r="E26" s="1340"/>
      <c r="F26" s="1340"/>
      <c r="G26" s="1340"/>
      <c r="H26" s="1340"/>
      <c r="I26" s="1340"/>
      <c r="J26" s="1340"/>
      <c r="K26" s="1340"/>
      <c r="L26" s="1340"/>
      <c r="M26" s="3024"/>
      <c r="N26" s="3025"/>
    </row>
    <row r="27" spans="1:14" ht="17" thickBot="1">
      <c r="A27" s="1365"/>
      <c r="B27" s="1342"/>
      <c r="C27" s="1340"/>
      <c r="D27" s="1340"/>
      <c r="E27" s="1340"/>
      <c r="F27" s="1340"/>
      <c r="G27" s="1340"/>
      <c r="H27" s="1340"/>
      <c r="I27" s="1340"/>
      <c r="J27" s="1340"/>
      <c r="K27" s="1340"/>
      <c r="L27" s="1340"/>
      <c r="M27" s="3024"/>
      <c r="N27" s="3025"/>
    </row>
    <row r="28" spans="1:14" ht="17" thickBot="1">
      <c r="A28" s="3021" t="s">
        <v>1299</v>
      </c>
      <c r="B28" s="3021"/>
      <c r="C28" s="3021"/>
      <c r="D28" s="3021"/>
      <c r="E28" s="3021"/>
      <c r="F28" s="3021"/>
      <c r="G28" s="3021"/>
      <c r="H28" s="3021"/>
      <c r="I28" s="3021"/>
      <c r="J28" s="3021"/>
      <c r="K28" s="3021"/>
      <c r="L28" s="3022"/>
      <c r="M28" s="3026">
        <f>SUM(M23:M27)</f>
        <v>0</v>
      </c>
      <c r="N28" s="3027"/>
    </row>
    <row r="29" spans="1:14" ht="29" customHeight="1">
      <c r="A29" s="3023" t="s">
        <v>1288</v>
      </c>
      <c r="B29" s="3023"/>
      <c r="C29" s="3023"/>
      <c r="D29" s="3023"/>
      <c r="E29" s="3023"/>
      <c r="F29" s="3023"/>
      <c r="G29" s="3023"/>
      <c r="H29" s="3023"/>
      <c r="I29" s="3023"/>
      <c r="J29" s="3023"/>
      <c r="K29" s="3023"/>
      <c r="L29" s="3023"/>
      <c r="M29" s="3020">
        <f>M28+M20+M12+N12</f>
        <v>0</v>
      </c>
      <c r="N29" s="3020"/>
    </row>
    <row r="30" spans="1:14" ht="17" thickBot="1">
      <c r="A30" s="3008"/>
      <c r="B30" s="3009"/>
      <c r="C30" s="3009"/>
      <c r="D30" s="3009"/>
      <c r="E30" s="3009"/>
      <c r="F30" s="3009"/>
      <c r="G30" s="3009"/>
      <c r="H30" s="3009"/>
      <c r="I30" s="3009"/>
      <c r="J30" s="3009"/>
      <c r="K30" s="3009"/>
      <c r="L30" s="3009"/>
      <c r="M30" s="3009"/>
      <c r="N30" s="3009"/>
    </row>
    <row r="31" spans="1:14" ht="26" customHeight="1" thickBot="1">
      <c r="A31" s="1357" t="s">
        <v>1290</v>
      </c>
      <c r="B31" s="3016" t="s">
        <v>1133</v>
      </c>
      <c r="C31" s="3017"/>
      <c r="D31" s="3017"/>
      <c r="E31" s="3017"/>
      <c r="F31" s="3017"/>
      <c r="G31" s="3017"/>
      <c r="H31" s="3017"/>
      <c r="I31" s="3017"/>
      <c r="J31" s="3010">
        <f>Daginstitution!E76</f>
        <v>2024</v>
      </c>
      <c r="K31" s="3011"/>
      <c r="L31" s="3012"/>
      <c r="M31" s="3034">
        <f>Daginstitution!F76</f>
        <v>2025</v>
      </c>
      <c r="N31" s="3035"/>
    </row>
    <row r="32" spans="1:14" ht="16">
      <c r="A32" s="1257"/>
      <c r="B32" s="3018" t="s">
        <v>20</v>
      </c>
      <c r="C32" s="3019"/>
      <c r="D32" s="3019"/>
      <c r="E32" s="3019"/>
      <c r="F32" s="3019"/>
      <c r="G32" s="3019"/>
      <c r="H32" s="3019"/>
      <c r="I32" s="3019"/>
      <c r="J32" s="3013">
        <f>'Lon pæd., TAP mm'!AU56+'Lon pæd., TAP mm'!AU85+SUM('Lon pæd., TAP mm'!AT82:AU82)</f>
        <v>0</v>
      </c>
      <c r="K32" s="3014"/>
      <c r="L32" s="3015"/>
      <c r="M32" s="3036">
        <f>'Lon pæd., TAP mm'!AU57+'Lon pæd., TAP mm'!AU86+SUM('Lon pæd., TAP mm'!AT84:AU84)</f>
        <v>0</v>
      </c>
      <c r="N32" s="3037"/>
    </row>
    <row r="33" spans="1:14" ht="16">
      <c r="A33" s="1256"/>
      <c r="B33" s="3028" t="s">
        <v>863</v>
      </c>
      <c r="C33" s="3029"/>
      <c r="D33" s="3029"/>
      <c r="E33" s="3029"/>
      <c r="F33" s="3029"/>
      <c r="G33" s="3029"/>
      <c r="H33" s="3029"/>
      <c r="I33" s="3029"/>
      <c r="J33" s="3042">
        <f>'Lon pæd., TAP mm'!AU71</f>
        <v>0</v>
      </c>
      <c r="K33" s="3043"/>
      <c r="L33" s="3044"/>
      <c r="M33" s="3038">
        <f>SUM('Lon pæd., TAP mm'!AJ70:AU70)</f>
        <v>0</v>
      </c>
      <c r="N33" s="3039"/>
    </row>
    <row r="34" spans="1:14" ht="16">
      <c r="A34" s="1256"/>
      <c r="B34" s="3030" t="s">
        <v>131</v>
      </c>
      <c r="C34" s="3031"/>
      <c r="D34" s="3031"/>
      <c r="E34" s="3031"/>
      <c r="F34" s="3031"/>
      <c r="G34" s="3031"/>
      <c r="H34" s="3031"/>
      <c r="I34" s="3031"/>
      <c r="J34" s="3045">
        <f>'Lon pæd., TAP mm'!AU90</f>
        <v>0</v>
      </c>
      <c r="K34" s="3046"/>
      <c r="L34" s="3047"/>
      <c r="M34" s="3040">
        <f>'Lon pæd., TAP mm'!AU94</f>
        <v>0</v>
      </c>
      <c r="N34" s="3041"/>
    </row>
    <row r="35" spans="1:14" ht="16">
      <c r="A35" s="1256"/>
      <c r="B35" s="3032" t="s">
        <v>103</v>
      </c>
      <c r="C35" s="3033"/>
      <c r="D35" s="3033"/>
      <c r="E35" s="3033"/>
      <c r="F35" s="3033"/>
      <c r="G35" s="3033"/>
      <c r="H35" s="3033"/>
      <c r="I35" s="3033"/>
      <c r="J35" s="2965"/>
      <c r="K35" s="2966"/>
      <c r="L35" s="2967"/>
      <c r="M35" s="2965"/>
      <c r="N35" s="2967"/>
    </row>
    <row r="36" spans="1:14" ht="16">
      <c r="A36" s="1256"/>
      <c r="B36" s="3032" t="s">
        <v>957</v>
      </c>
      <c r="C36" s="3033"/>
      <c r="D36" s="3033"/>
      <c r="E36" s="3033"/>
      <c r="F36" s="3033"/>
      <c r="G36" s="3033"/>
      <c r="H36" s="3033"/>
      <c r="I36" s="3033"/>
      <c r="J36" s="2965"/>
      <c r="K36" s="2966"/>
      <c r="L36" s="2967"/>
      <c r="M36" s="2965"/>
      <c r="N36" s="2967"/>
    </row>
    <row r="37" spans="1:14" ht="16">
      <c r="A37" s="1256"/>
      <c r="B37" s="3032" t="s">
        <v>955</v>
      </c>
      <c r="C37" s="3033"/>
      <c r="D37" s="3033"/>
      <c r="E37" s="3033"/>
      <c r="F37" s="3033"/>
      <c r="G37" s="3033"/>
      <c r="H37" s="3033"/>
      <c r="I37" s="3033"/>
      <c r="J37" s="2965"/>
      <c r="K37" s="2966"/>
      <c r="L37" s="2967"/>
      <c r="M37" s="2965"/>
      <c r="N37" s="2967"/>
    </row>
    <row r="38" spans="1:14" ht="16">
      <c r="A38" s="1256"/>
      <c r="B38" s="3032" t="s">
        <v>937</v>
      </c>
      <c r="C38" s="3033"/>
      <c r="D38" s="3033"/>
      <c r="E38" s="3033"/>
      <c r="F38" s="3033"/>
      <c r="G38" s="3033"/>
      <c r="H38" s="3033"/>
      <c r="I38" s="3033"/>
      <c r="J38" s="2965"/>
      <c r="K38" s="2966"/>
      <c r="L38" s="2967"/>
      <c r="M38" s="2965"/>
      <c r="N38" s="2967"/>
    </row>
    <row r="39" spans="1:14" ht="16">
      <c r="A39" s="1256"/>
      <c r="B39" s="3032" t="s">
        <v>125</v>
      </c>
      <c r="C39" s="3033"/>
      <c r="D39" s="3033"/>
      <c r="E39" s="3033"/>
      <c r="F39" s="3033"/>
      <c r="G39" s="3033"/>
      <c r="H39" s="3033"/>
      <c r="I39" s="3033"/>
      <c r="J39" s="2965"/>
      <c r="K39" s="2966"/>
      <c r="L39" s="2967"/>
      <c r="M39" s="2965"/>
      <c r="N39" s="2967"/>
    </row>
    <row r="40" spans="1:14" ht="16">
      <c r="A40" s="1256"/>
      <c r="B40" s="3032" t="s">
        <v>965</v>
      </c>
      <c r="C40" s="3033"/>
      <c r="D40" s="3033"/>
      <c r="E40" s="3033"/>
      <c r="F40" s="3033"/>
      <c r="G40" s="3033"/>
      <c r="H40" s="3033"/>
      <c r="I40" s="3033"/>
      <c r="J40" s="2965"/>
      <c r="K40" s="2966"/>
      <c r="L40" s="2967"/>
      <c r="M40" s="2965"/>
      <c r="N40" s="2967"/>
    </row>
    <row r="41" spans="1:14" ht="16">
      <c r="A41" s="1256"/>
      <c r="B41" s="3032" t="s">
        <v>966</v>
      </c>
      <c r="C41" s="3033"/>
      <c r="D41" s="3033"/>
      <c r="E41" s="3033"/>
      <c r="F41" s="3033"/>
      <c r="G41" s="3033"/>
      <c r="H41" s="3033"/>
      <c r="I41" s="3033"/>
      <c r="J41" s="2965"/>
      <c r="K41" s="2966"/>
      <c r="L41" s="2967"/>
      <c r="M41" s="2965"/>
      <c r="N41" s="2967"/>
    </row>
    <row r="42" spans="1:14" ht="16">
      <c r="A42" s="1256"/>
      <c r="B42" s="3032" t="s">
        <v>944</v>
      </c>
      <c r="C42" s="3033"/>
      <c r="D42" s="3033"/>
      <c r="E42" s="3033"/>
      <c r="F42" s="3033"/>
      <c r="G42" s="3033"/>
      <c r="H42" s="3033"/>
      <c r="I42" s="3033"/>
      <c r="J42" s="2965"/>
      <c r="K42" s="2966"/>
      <c r="L42" s="2967"/>
      <c r="M42" s="2965"/>
      <c r="N42" s="2967"/>
    </row>
    <row r="43" spans="1:14" ht="16">
      <c r="A43" s="1256"/>
      <c r="B43" s="3032" t="s">
        <v>967</v>
      </c>
      <c r="C43" s="3033"/>
      <c r="D43" s="3033"/>
      <c r="E43" s="3033"/>
      <c r="F43" s="3033"/>
      <c r="G43" s="3033"/>
      <c r="H43" s="3033"/>
      <c r="I43" s="3033"/>
      <c r="J43" s="2965"/>
      <c r="K43" s="2966"/>
      <c r="L43" s="2967"/>
      <c r="M43" s="2965"/>
      <c r="N43" s="2967"/>
    </row>
    <row r="44" spans="1:14" ht="16">
      <c r="A44" s="1256"/>
      <c r="B44" s="3048" t="s">
        <v>968</v>
      </c>
      <c r="C44" s="3049"/>
      <c r="D44" s="3049"/>
      <c r="E44" s="3049"/>
      <c r="F44" s="3049"/>
      <c r="G44" s="3049"/>
      <c r="H44" s="3049"/>
      <c r="I44" s="3049"/>
      <c r="J44" s="2965"/>
      <c r="K44" s="2966"/>
      <c r="L44" s="2967"/>
      <c r="M44" s="2965"/>
      <c r="N44" s="2967"/>
    </row>
    <row r="45" spans="1:14" ht="17" thickBot="1">
      <c r="A45" s="1356"/>
      <c r="B45" s="2971"/>
      <c r="C45" s="2972"/>
      <c r="D45" s="2972"/>
      <c r="E45" s="2972"/>
      <c r="F45" s="2972"/>
      <c r="G45" s="2972"/>
      <c r="H45" s="2972"/>
      <c r="I45" s="2972"/>
      <c r="J45" s="2968"/>
      <c r="K45" s="2969"/>
      <c r="L45" s="2970"/>
      <c r="M45" s="2965"/>
      <c r="N45" s="2967"/>
    </row>
    <row r="46" spans="1:14" ht="17" thickBot="1">
      <c r="A46" s="2961" t="s">
        <v>1300</v>
      </c>
      <c r="B46" s="2962"/>
      <c r="C46" s="2962"/>
      <c r="D46" s="2962"/>
      <c r="E46" s="2962"/>
      <c r="F46" s="2962"/>
      <c r="G46" s="2962"/>
      <c r="H46" s="2962"/>
      <c r="I46" s="2962"/>
      <c r="J46" s="2973">
        <f>SUM(J32:L45)</f>
        <v>0</v>
      </c>
      <c r="K46" s="2974"/>
      <c r="L46" s="2975"/>
      <c r="M46" s="2978">
        <f>SUM(M32:N45)</f>
        <v>0</v>
      </c>
      <c r="N46" s="2979"/>
    </row>
    <row r="47" spans="1:14" ht="21" thickBot="1">
      <c r="A47" s="2963" t="s">
        <v>82</v>
      </c>
      <c r="B47" s="2964"/>
      <c r="C47" s="2964"/>
      <c r="D47" s="2964"/>
      <c r="E47" s="2964"/>
      <c r="F47" s="2964"/>
      <c r="G47" s="2964"/>
      <c r="H47" s="2964"/>
      <c r="I47" s="2964"/>
      <c r="J47" s="2976">
        <f>M29-J46</f>
        <v>0</v>
      </c>
      <c r="K47" s="2980"/>
      <c r="L47" s="2977"/>
      <c r="M47" s="2976">
        <f>IF(M12&gt;0,'Skolepenge, pasningsordning.'!I99+'Skolepenge, pasningsordning.'!I114+'Skolepenge, pasningsordning.'!I117-'Heltids SFO'!M46,0)</f>
        <v>0</v>
      </c>
      <c r="N47" s="2977"/>
    </row>
  </sheetData>
  <sheetProtection sheet="1" objects="1" scenarios="1"/>
  <mergeCells count="75">
    <mergeCell ref="B41:I41"/>
    <mergeCell ref="B42:I42"/>
    <mergeCell ref="B43:I43"/>
    <mergeCell ref="B44:I44"/>
    <mergeCell ref="B36:I36"/>
    <mergeCell ref="B37:I37"/>
    <mergeCell ref="B38:I38"/>
    <mergeCell ref="B39:I39"/>
    <mergeCell ref="B40:I40"/>
    <mergeCell ref="B33:I33"/>
    <mergeCell ref="B34:I34"/>
    <mergeCell ref="B35:I35"/>
    <mergeCell ref="M35:N35"/>
    <mergeCell ref="M31:N31"/>
    <mergeCell ref="M32:N32"/>
    <mergeCell ref="M33:N33"/>
    <mergeCell ref="M34:N34"/>
    <mergeCell ref="J33:L33"/>
    <mergeCell ref="J34:L34"/>
    <mergeCell ref="J35:L35"/>
    <mergeCell ref="M29:N29"/>
    <mergeCell ref="A28:L28"/>
    <mergeCell ref="A29:L29"/>
    <mergeCell ref="M23:N23"/>
    <mergeCell ref="M24:N24"/>
    <mergeCell ref="M25:N25"/>
    <mergeCell ref="M26:N26"/>
    <mergeCell ref="M27:N27"/>
    <mergeCell ref="M28:N28"/>
    <mergeCell ref="A30:N30"/>
    <mergeCell ref="J31:L31"/>
    <mergeCell ref="J32:L32"/>
    <mergeCell ref="B31:I31"/>
    <mergeCell ref="B32:I32"/>
    <mergeCell ref="A2:N3"/>
    <mergeCell ref="A4:A5"/>
    <mergeCell ref="A12:L12"/>
    <mergeCell ref="A13:N14"/>
    <mergeCell ref="A21:N22"/>
    <mergeCell ref="M4:N4"/>
    <mergeCell ref="M15:N15"/>
    <mergeCell ref="M16:N16"/>
    <mergeCell ref="M17:N17"/>
    <mergeCell ref="M18:N18"/>
    <mergeCell ref="M19:N19"/>
    <mergeCell ref="M20:N20"/>
    <mergeCell ref="E4:L4"/>
    <mergeCell ref="A20:L20"/>
    <mergeCell ref="M36:N36"/>
    <mergeCell ref="M37:N37"/>
    <mergeCell ref="M38:N38"/>
    <mergeCell ref="M39:N39"/>
    <mergeCell ref="M40:N40"/>
    <mergeCell ref="J36:L36"/>
    <mergeCell ref="J37:L37"/>
    <mergeCell ref="J38:L38"/>
    <mergeCell ref="J39:L39"/>
    <mergeCell ref="J40:L40"/>
    <mergeCell ref="J41:L41"/>
    <mergeCell ref="J42:L42"/>
    <mergeCell ref="M47:N47"/>
    <mergeCell ref="M43:N43"/>
    <mergeCell ref="M44:N44"/>
    <mergeCell ref="M45:N45"/>
    <mergeCell ref="M46:N46"/>
    <mergeCell ref="J47:L47"/>
    <mergeCell ref="M42:N42"/>
    <mergeCell ref="M41:N41"/>
    <mergeCell ref="A46:I46"/>
    <mergeCell ref="A47:I47"/>
    <mergeCell ref="J43:L43"/>
    <mergeCell ref="J44:L44"/>
    <mergeCell ref="J45:L45"/>
    <mergeCell ref="B45:I45"/>
    <mergeCell ref="J46:L46"/>
  </mergeCells>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FFFF00"/>
  </sheetPr>
  <dimension ref="A1:AJ186"/>
  <sheetViews>
    <sheetView zoomScale="111" zoomScaleNormal="111" zoomScaleSheetLayoutView="100" workbookViewId="0">
      <selection activeCell="A30" sqref="A30:T30"/>
    </sheetView>
  </sheetViews>
  <sheetFormatPr baseColWidth="10" defaultColWidth="10.83203125" defaultRowHeight="13"/>
  <cols>
    <col min="1" max="1" width="8.83203125" customWidth="1"/>
    <col min="2" max="2" width="20" customWidth="1"/>
    <col min="3" max="3" width="15.83203125" customWidth="1"/>
    <col min="4" max="4" width="15" customWidth="1"/>
    <col min="5" max="5" width="15.5" customWidth="1"/>
    <col min="6" max="6" width="6.6640625" customWidth="1"/>
    <col min="7" max="11" width="6.83203125" customWidth="1"/>
    <col min="12" max="12" width="10.33203125" customWidth="1"/>
    <col min="13" max="13" width="10.5" customWidth="1"/>
    <col min="14" max="17" width="6.83203125" customWidth="1"/>
    <col min="18" max="18" width="7" customWidth="1"/>
    <col min="19" max="21" width="16" customWidth="1"/>
    <col min="22" max="22" width="17.6640625" customWidth="1"/>
    <col min="23" max="23" width="12.6640625" customWidth="1"/>
    <col min="24" max="24" width="16.1640625" customWidth="1"/>
    <col min="26" max="26" width="4.6640625" customWidth="1"/>
  </cols>
  <sheetData>
    <row r="1" spans="1:36" s="141" customFormat="1" ht="27" customHeight="1" thickBot="1">
      <c r="C1" s="303"/>
      <c r="G1" s="303"/>
      <c r="H1" s="303"/>
      <c r="I1" s="303"/>
      <c r="J1" s="303"/>
      <c r="K1" s="303"/>
      <c r="L1" s="303"/>
      <c r="M1" s="303"/>
      <c r="N1" s="303"/>
      <c r="O1" s="303"/>
      <c r="P1" s="303"/>
      <c r="Q1" s="303"/>
      <c r="U1"/>
      <c r="V1"/>
      <c r="W1"/>
      <c r="X1"/>
      <c r="Y1"/>
      <c r="Z1"/>
      <c r="AA1"/>
      <c r="AB1"/>
      <c r="AC1"/>
      <c r="AD1"/>
      <c r="AE1"/>
      <c r="AF1"/>
      <c r="AG1"/>
      <c r="AH1"/>
      <c r="AI1"/>
      <c r="AJ1"/>
    </row>
    <row r="2" spans="1:36" ht="38" customHeight="1" thickBot="1">
      <c r="A2" s="3171" t="str">
        <f>"Børnehaveindtægter " &amp; budgetår</f>
        <v>Børnehaveindtægter 2024</v>
      </c>
      <c r="B2" s="3172"/>
      <c r="C2" s="3172"/>
      <c r="D2" s="3172"/>
      <c r="E2" s="3172"/>
      <c r="F2" s="3172"/>
      <c r="G2" s="3172"/>
      <c r="H2" s="3172"/>
      <c r="I2" s="3172"/>
      <c r="J2" s="3172"/>
      <c r="K2" s="3172"/>
      <c r="L2" s="3172"/>
      <c r="M2" s="3172"/>
      <c r="N2" s="3172"/>
      <c r="O2" s="3172"/>
      <c r="P2" s="3172"/>
      <c r="Q2" s="3172"/>
      <c r="R2" s="3172"/>
      <c r="S2" s="3172"/>
      <c r="T2" s="3173"/>
    </row>
    <row r="3" spans="1:36" s="5" customFormat="1" ht="34" customHeight="1">
      <c r="A3" s="3181" t="s">
        <v>1130</v>
      </c>
      <c r="B3" s="3182"/>
      <c r="C3" s="3182"/>
      <c r="D3" s="3182"/>
      <c r="E3" s="1102"/>
      <c r="F3" s="3183" t="s">
        <v>1131</v>
      </c>
      <c r="G3" s="3184"/>
      <c r="H3" s="3184"/>
      <c r="I3" s="3184"/>
      <c r="J3" s="3184"/>
      <c r="K3" s="3184"/>
      <c r="L3" s="3184"/>
      <c r="M3" s="3184"/>
      <c r="N3" s="3184"/>
      <c r="O3" s="3184"/>
      <c r="P3" s="3184"/>
      <c r="Q3" s="3184"/>
      <c r="R3" s="3183"/>
      <c r="S3" s="3183"/>
      <c r="T3" s="932"/>
    </row>
    <row r="4" spans="1:36" s="5" customFormat="1" ht="34" customHeight="1" thickBot="1">
      <c r="A4" s="3185" t="s">
        <v>1129</v>
      </c>
      <c r="B4" s="3186"/>
      <c r="C4" s="3186"/>
      <c r="D4" s="3186"/>
      <c r="E4" s="1103"/>
      <c r="F4" s="3187" t="s">
        <v>1132</v>
      </c>
      <c r="G4" s="3188"/>
      <c r="H4" s="3188"/>
      <c r="I4" s="3188"/>
      <c r="J4" s="3188"/>
      <c r="K4" s="3188"/>
      <c r="L4" s="3188"/>
      <c r="M4" s="3188"/>
      <c r="N4" s="3188"/>
      <c r="O4" s="3188"/>
      <c r="P4" s="3188"/>
      <c r="Q4" s="3188"/>
      <c r="R4" s="3187"/>
      <c r="S4" s="3187"/>
      <c r="T4" s="933"/>
    </row>
    <row r="5" spans="1:36" s="5" customFormat="1" ht="28" customHeight="1" thickBot="1">
      <c r="A5" s="3174" t="str">
        <f>"Børnehave indtægter januar til december " &amp; budgetår</f>
        <v>Børnehave indtægter januar til december 2024</v>
      </c>
      <c r="B5" s="3175"/>
      <c r="C5" s="3175"/>
      <c r="D5" s="3175"/>
      <c r="E5" s="3175"/>
      <c r="F5" s="3175"/>
      <c r="G5" s="3176"/>
      <c r="H5" s="3176"/>
      <c r="I5" s="3176"/>
      <c r="J5" s="3176"/>
      <c r="K5" s="3176"/>
      <c r="L5" s="3176"/>
      <c r="M5" s="3176"/>
      <c r="N5" s="3176"/>
      <c r="O5" s="3176"/>
      <c r="P5" s="3176"/>
      <c r="Q5" s="3176"/>
      <c r="R5" s="3175"/>
      <c r="S5" s="3175"/>
      <c r="T5" s="3177"/>
    </row>
    <row r="6" spans="1:36" s="22" customFormat="1" ht="25" customHeight="1" thickBot="1">
      <c r="A6" s="979"/>
      <c r="B6" s="1280" t="s">
        <v>104</v>
      </c>
      <c r="C6" s="3061" t="s">
        <v>895</v>
      </c>
      <c r="D6" s="3062"/>
      <c r="E6" s="3063"/>
      <c r="F6" s="3052" t="s">
        <v>1490</v>
      </c>
      <c r="G6" s="3053"/>
      <c r="H6" s="3053"/>
      <c r="I6" s="3053"/>
      <c r="J6" s="3053"/>
      <c r="K6" s="3053"/>
      <c r="L6" s="3053"/>
      <c r="M6" s="3053"/>
      <c r="N6" s="3053"/>
      <c r="O6" s="3053"/>
      <c r="P6" s="3053"/>
      <c r="Q6" s="3053"/>
      <c r="R6" s="3054"/>
      <c r="S6" s="3052" t="s">
        <v>1266</v>
      </c>
      <c r="T6" s="3054"/>
      <c r="U6" s="980"/>
      <c r="V6" s="980"/>
      <c r="W6" s="980"/>
      <c r="X6" s="980"/>
      <c r="Y6" s="980"/>
      <c r="Z6" s="980"/>
      <c r="AA6" s="980"/>
      <c r="AB6" s="980"/>
      <c r="AC6" s="980"/>
      <c r="AD6" s="980"/>
      <c r="AE6" s="980"/>
      <c r="AF6" s="980"/>
      <c r="AG6" s="980"/>
      <c r="AH6" s="980"/>
    </row>
    <row r="7" spans="1:36" s="22" customFormat="1" ht="25" customHeight="1" thickBot="1">
      <c r="A7" s="2464"/>
      <c r="B7" s="2465" t="s">
        <v>1489</v>
      </c>
      <c r="C7" s="3050" t="s">
        <v>1489</v>
      </c>
      <c r="D7" s="3050"/>
      <c r="E7" s="3050"/>
      <c r="F7" s="3055"/>
      <c r="G7" s="3056"/>
      <c r="H7" s="3056"/>
      <c r="I7" s="3056"/>
      <c r="J7" s="3056"/>
      <c r="K7" s="3056"/>
      <c r="L7" s="3056"/>
      <c r="M7" s="3056"/>
      <c r="N7" s="3056"/>
      <c r="O7" s="3056"/>
      <c r="P7" s="3056"/>
      <c r="Q7" s="3056"/>
      <c r="R7" s="3057"/>
      <c r="S7" s="3055"/>
      <c r="T7" s="3057"/>
      <c r="U7" s="980"/>
      <c r="V7" s="980"/>
      <c r="W7" s="980"/>
      <c r="X7" s="980"/>
      <c r="Y7" s="980"/>
      <c r="Z7" s="980"/>
      <c r="AA7" s="980"/>
      <c r="AB7" s="980"/>
      <c r="AC7" s="980"/>
      <c r="AD7" s="980"/>
      <c r="AE7" s="980"/>
      <c r="AF7" s="980"/>
      <c r="AG7" s="980"/>
      <c r="AH7" s="980"/>
    </row>
    <row r="8" spans="1:36" s="22" customFormat="1" ht="25" customHeight="1" thickBot="1">
      <c r="A8" s="2464"/>
      <c r="B8" s="2466"/>
      <c r="C8" s="3051"/>
      <c r="D8" s="3051"/>
      <c r="E8" s="3051"/>
      <c r="F8" s="3058"/>
      <c r="G8" s="3059"/>
      <c r="H8" s="3059"/>
      <c r="I8" s="3059"/>
      <c r="J8" s="3059"/>
      <c r="K8" s="3059"/>
      <c r="L8" s="3059"/>
      <c r="M8" s="3059"/>
      <c r="N8" s="3059"/>
      <c r="O8" s="3059"/>
      <c r="P8" s="3059"/>
      <c r="Q8" s="3059"/>
      <c r="R8" s="3060"/>
      <c r="S8" s="3058"/>
      <c r="T8" s="3060"/>
      <c r="U8" s="980"/>
      <c r="V8" s="980"/>
      <c r="W8" s="980"/>
      <c r="X8" s="980"/>
      <c r="Y8" s="980"/>
      <c r="Z8" s="980"/>
      <c r="AA8" s="980"/>
      <c r="AB8" s="980"/>
      <c r="AC8" s="980"/>
      <c r="AD8" s="980"/>
      <c r="AE8" s="980"/>
      <c r="AF8" s="980"/>
      <c r="AG8" s="980"/>
      <c r="AH8" s="980"/>
    </row>
    <row r="9" spans="1:36" s="24" customFormat="1" ht="63" customHeight="1">
      <c r="A9" s="981" t="s">
        <v>1128</v>
      </c>
      <c r="B9" s="1325" t="s">
        <v>1065</v>
      </c>
      <c r="C9" s="1325" t="s">
        <v>1069</v>
      </c>
      <c r="D9" s="1279" t="s">
        <v>1070</v>
      </c>
      <c r="E9" s="1301" t="s">
        <v>1071</v>
      </c>
      <c r="F9" s="1314" t="s">
        <v>1254</v>
      </c>
      <c r="G9" s="1315" t="s">
        <v>1255</v>
      </c>
      <c r="H9" s="1315" t="s">
        <v>1256</v>
      </c>
      <c r="I9" s="1315" t="s">
        <v>1257</v>
      </c>
      <c r="J9" s="1315" t="s">
        <v>1252</v>
      </c>
      <c r="K9" s="1315" t="s">
        <v>1258</v>
      </c>
      <c r="L9" s="1315" t="s">
        <v>1270</v>
      </c>
      <c r="M9" s="1315" t="s">
        <v>1269</v>
      </c>
      <c r="N9" s="1315" t="s">
        <v>1259</v>
      </c>
      <c r="O9" s="1315" t="s">
        <v>1253</v>
      </c>
      <c r="P9" s="1315" t="s">
        <v>1261</v>
      </c>
      <c r="Q9" s="1315" t="s">
        <v>1260</v>
      </c>
      <c r="R9" s="1308" t="s">
        <v>1262</v>
      </c>
      <c r="S9" s="1307" t="s">
        <v>1264</v>
      </c>
      <c r="T9" s="1308" t="s">
        <v>1265</v>
      </c>
      <c r="U9" s="1332"/>
      <c r="V9" s="982"/>
      <c r="W9" s="982"/>
      <c r="X9" s="982"/>
      <c r="Y9" s="982"/>
      <c r="Z9" s="982"/>
      <c r="AA9" s="982"/>
      <c r="AB9" s="982"/>
      <c r="AC9" s="982"/>
      <c r="AD9" s="982"/>
      <c r="AE9" s="982"/>
      <c r="AF9" s="982"/>
      <c r="AG9" s="982"/>
      <c r="AH9" s="982"/>
      <c r="AI9" s="982"/>
    </row>
    <row r="10" spans="1:36" s="5" customFormat="1" ht="14" customHeight="1">
      <c r="A10" s="983" t="s">
        <v>141</v>
      </c>
      <c r="B10" s="2271"/>
      <c r="C10" s="2272"/>
      <c r="D10" s="1306"/>
      <c r="E10" s="1310"/>
      <c r="F10" s="1309"/>
      <c r="G10" s="1304"/>
      <c r="H10" s="1304"/>
      <c r="I10" s="1304"/>
      <c r="J10" s="1304"/>
      <c r="K10" s="1304"/>
      <c r="L10" s="1304"/>
      <c r="M10" s="1304"/>
      <c r="N10" s="1304"/>
      <c r="O10" s="1304"/>
      <c r="P10" s="1304"/>
      <c r="Q10" s="1304"/>
      <c r="R10" s="1316"/>
      <c r="S10" s="1318">
        <f>SUM(F10:R10)*B10-(M10*B10)</f>
        <v>0</v>
      </c>
      <c r="T10" s="1319" cm="1">
        <f t="array" ref="T10">SUM(F10:R10)*SUM(C10:E10)-SUM(C10:E10*L10)</f>
        <v>0</v>
      </c>
      <c r="U10" s="989">
        <f>SUM(F10:R19)</f>
        <v>0</v>
      </c>
      <c r="V10" s="984"/>
      <c r="W10" s="984"/>
      <c r="X10" s="984"/>
      <c r="Y10" s="984"/>
      <c r="Z10" s="984"/>
      <c r="AA10" s="984"/>
      <c r="AB10" s="984"/>
      <c r="AC10" s="984"/>
      <c r="AD10" s="984"/>
      <c r="AE10" s="984"/>
      <c r="AF10" s="984"/>
      <c r="AG10" s="984"/>
      <c r="AH10" s="984"/>
      <c r="AI10" s="984"/>
    </row>
    <row r="11" spans="1:36" s="5" customFormat="1" ht="14" customHeight="1">
      <c r="A11" s="983" t="s">
        <v>287</v>
      </c>
      <c r="B11" s="2273"/>
      <c r="C11" s="2274"/>
      <c r="D11" s="1306"/>
      <c r="E11" s="1310"/>
      <c r="F11" s="1309"/>
      <c r="G11" s="1304"/>
      <c r="H11" s="1304"/>
      <c r="I11" s="1304"/>
      <c r="J11" s="1304"/>
      <c r="K11" s="1304"/>
      <c r="L11" s="1304"/>
      <c r="M11" s="1304"/>
      <c r="N11" s="1304"/>
      <c r="O11" s="1304"/>
      <c r="P11" s="1304"/>
      <c r="Q11" s="1304"/>
      <c r="R11" s="1316"/>
      <c r="S11" s="1318">
        <f t="shared" ref="S11:S19" si="0">SUM(F11:R11)*B11-(M11*B11)</f>
        <v>0</v>
      </c>
      <c r="T11" s="1319" cm="1">
        <f t="array" ref="T11">SUM(F11:R11)*SUM(C11:E11)-SUM(C11:E11*L11)</f>
        <v>0</v>
      </c>
      <c r="U11" s="989">
        <f>SUM(L10:L19)</f>
        <v>0</v>
      </c>
      <c r="V11" s="984"/>
      <c r="W11" s="984"/>
      <c r="X11" s="984"/>
      <c r="Y11" s="984"/>
      <c r="Z11" s="984"/>
      <c r="AA11" s="984"/>
      <c r="AB11" s="984"/>
      <c r="AC11" s="984"/>
      <c r="AD11" s="984"/>
      <c r="AE11" s="984"/>
      <c r="AF11" s="984"/>
      <c r="AG11" s="984"/>
      <c r="AH11" s="984"/>
      <c r="AI11" s="984"/>
    </row>
    <row r="12" spans="1:36" s="5" customFormat="1" ht="14" customHeight="1">
      <c r="A12" s="983" t="s">
        <v>250</v>
      </c>
      <c r="B12" s="1083"/>
      <c r="C12" s="1309"/>
      <c r="D12" s="1306"/>
      <c r="E12" s="1310"/>
      <c r="F12" s="1309"/>
      <c r="G12" s="1304"/>
      <c r="H12" s="1304"/>
      <c r="I12" s="1304"/>
      <c r="J12" s="1304"/>
      <c r="K12" s="1304"/>
      <c r="L12" s="1304"/>
      <c r="M12" s="1304"/>
      <c r="N12" s="1304"/>
      <c r="O12" s="1304"/>
      <c r="P12" s="1304"/>
      <c r="Q12" s="1304"/>
      <c r="R12" s="1316"/>
      <c r="S12" s="1318">
        <f t="shared" si="0"/>
        <v>0</v>
      </c>
      <c r="T12" s="1319" cm="1">
        <f t="array" ref="T12">SUM(F12:R12)*SUM(C12:E12)-SUM(C12:E12*L12)</f>
        <v>0</v>
      </c>
      <c r="U12" s="989">
        <f>U10-U11</f>
        <v>0</v>
      </c>
      <c r="V12" s="984"/>
      <c r="W12" s="984"/>
      <c r="X12" s="984"/>
      <c r="Y12" s="984"/>
      <c r="Z12" s="984"/>
      <c r="AA12" s="984"/>
      <c r="AB12" s="984"/>
      <c r="AC12" s="984"/>
      <c r="AD12" s="984"/>
      <c r="AE12" s="984"/>
      <c r="AF12" s="984"/>
      <c r="AG12" s="984"/>
      <c r="AH12" s="984"/>
      <c r="AI12" s="984"/>
    </row>
    <row r="13" spans="1:36" s="5" customFormat="1" ht="14" customHeight="1">
      <c r="A13" s="983" t="s">
        <v>251</v>
      </c>
      <c r="B13" s="1176"/>
      <c r="C13" s="1177"/>
      <c r="D13" s="1306"/>
      <c r="E13" s="1310"/>
      <c r="F13" s="1309"/>
      <c r="G13" s="1304"/>
      <c r="H13" s="1304"/>
      <c r="I13" s="1304"/>
      <c r="J13" s="1304"/>
      <c r="K13" s="1304"/>
      <c r="L13" s="1304"/>
      <c r="M13" s="1304"/>
      <c r="N13" s="1304"/>
      <c r="O13" s="1304"/>
      <c r="P13" s="1304"/>
      <c r="Q13" s="1304"/>
      <c r="R13" s="1316"/>
      <c r="S13" s="1318">
        <f t="shared" si="0"/>
        <v>0</v>
      </c>
      <c r="T13" s="1319" cm="1">
        <f t="array" ref="T13">SUM(F13:R13)*SUM(C13:E13)-SUM(C13:E13*L13)</f>
        <v>0</v>
      </c>
      <c r="U13" s="1333">
        <f>IF(T3&gt;0,U12/T3,0)</f>
        <v>0</v>
      </c>
      <c r="V13" s="984"/>
      <c r="W13" s="984"/>
      <c r="X13" s="984"/>
      <c r="Y13" s="984"/>
      <c r="Z13" s="984"/>
      <c r="AA13" s="984"/>
      <c r="AB13" s="984"/>
      <c r="AC13" s="984"/>
      <c r="AD13" s="984"/>
      <c r="AE13" s="984"/>
      <c r="AF13" s="984"/>
      <c r="AG13" s="984"/>
      <c r="AH13" s="984"/>
      <c r="AI13" s="984"/>
    </row>
    <row r="14" spans="1:36" s="5" customFormat="1" ht="14" customHeight="1">
      <c r="A14" s="983" t="s">
        <v>896</v>
      </c>
      <c r="B14" s="1176"/>
      <c r="C14" s="1177"/>
      <c r="D14" s="2345"/>
      <c r="E14" s="2346"/>
      <c r="F14" s="2347"/>
      <c r="G14" s="2348"/>
      <c r="H14" s="2348"/>
      <c r="I14" s="2348"/>
      <c r="J14" s="2348"/>
      <c r="K14" s="2348"/>
      <c r="L14" s="2348"/>
      <c r="M14" s="2348"/>
      <c r="N14" s="2348"/>
      <c r="O14" s="2348"/>
      <c r="P14" s="2348"/>
      <c r="Q14" s="2348"/>
      <c r="R14" s="2349"/>
      <c r="S14" s="1318">
        <f t="shared" ref="S14:S17" si="1">SUM(F14:R14)*B14-(M14*B14)</f>
        <v>0</v>
      </c>
      <c r="T14" s="1319" cm="1">
        <f t="array" ref="T14">SUM(F14:R14)*SUM(C14:E14)-SUM(C14:E14*L14)</f>
        <v>0</v>
      </c>
      <c r="U14" s="1333"/>
      <c r="V14" s="984"/>
      <c r="W14" s="984"/>
      <c r="X14" s="984"/>
      <c r="Y14" s="984"/>
      <c r="Z14" s="984"/>
      <c r="AA14" s="984"/>
      <c r="AB14" s="984"/>
      <c r="AC14" s="984"/>
      <c r="AD14" s="984"/>
      <c r="AE14" s="984"/>
      <c r="AF14" s="984"/>
      <c r="AG14" s="984"/>
      <c r="AH14" s="984"/>
      <c r="AI14" s="984"/>
    </row>
    <row r="15" spans="1:36" s="5" customFormat="1" ht="14" customHeight="1">
      <c r="A15" s="983" t="s">
        <v>897</v>
      </c>
      <c r="B15" s="1176"/>
      <c r="C15" s="1177"/>
      <c r="D15" s="2345"/>
      <c r="E15" s="2346"/>
      <c r="F15" s="2347"/>
      <c r="G15" s="2348"/>
      <c r="H15" s="2348"/>
      <c r="I15" s="2348"/>
      <c r="J15" s="2348"/>
      <c r="K15" s="2348"/>
      <c r="L15" s="2348"/>
      <c r="M15" s="2348"/>
      <c r="N15" s="2348"/>
      <c r="O15" s="2348"/>
      <c r="P15" s="2348"/>
      <c r="Q15" s="2348"/>
      <c r="R15" s="2349"/>
      <c r="S15" s="1318">
        <f t="shared" si="1"/>
        <v>0</v>
      </c>
      <c r="T15" s="1319" cm="1">
        <f t="array" ref="T15">SUM(F15:R15)*SUM(C15:E15)-SUM(C15:E15*L15)</f>
        <v>0</v>
      </c>
      <c r="U15" s="1333"/>
      <c r="V15" s="984"/>
      <c r="W15" s="984"/>
      <c r="X15" s="984"/>
      <c r="Y15" s="984"/>
      <c r="Z15" s="984"/>
      <c r="AA15" s="984"/>
      <c r="AB15" s="984"/>
      <c r="AC15" s="984"/>
      <c r="AD15" s="984"/>
      <c r="AE15" s="984"/>
      <c r="AF15" s="984"/>
      <c r="AG15" s="984"/>
      <c r="AH15" s="984"/>
      <c r="AI15" s="984"/>
    </row>
    <row r="16" spans="1:36" s="5" customFormat="1" ht="14" customHeight="1">
      <c r="A16" s="983" t="s">
        <v>1082</v>
      </c>
      <c r="B16" s="1176"/>
      <c r="C16" s="1177"/>
      <c r="D16" s="2345"/>
      <c r="E16" s="2346"/>
      <c r="F16" s="2347"/>
      <c r="G16" s="2348"/>
      <c r="H16" s="2348"/>
      <c r="I16" s="2348"/>
      <c r="J16" s="2348"/>
      <c r="K16" s="2348"/>
      <c r="L16" s="2348"/>
      <c r="M16" s="2348"/>
      <c r="N16" s="2348"/>
      <c r="O16" s="2348"/>
      <c r="P16" s="2348"/>
      <c r="Q16" s="2348"/>
      <c r="R16" s="2349"/>
      <c r="S16" s="1318">
        <f t="shared" si="1"/>
        <v>0</v>
      </c>
      <c r="T16" s="1319" cm="1">
        <f t="array" ref="T16">SUM(F16:R16)*SUM(C16:E16)-SUM(C16:E16*L16)</f>
        <v>0</v>
      </c>
      <c r="U16" s="1333"/>
      <c r="V16" s="984"/>
      <c r="W16" s="984"/>
      <c r="X16" s="984"/>
      <c r="Y16" s="984"/>
      <c r="Z16" s="984"/>
      <c r="AA16" s="984"/>
      <c r="AB16" s="984"/>
      <c r="AC16" s="984"/>
      <c r="AD16" s="984"/>
      <c r="AE16" s="984"/>
      <c r="AF16" s="984"/>
      <c r="AG16" s="984"/>
      <c r="AH16" s="984"/>
      <c r="AI16" s="984"/>
    </row>
    <row r="17" spans="1:35" s="5" customFormat="1" ht="14" customHeight="1">
      <c r="A17" s="983" t="s">
        <v>1083</v>
      </c>
      <c r="B17" s="1176"/>
      <c r="C17" s="1177"/>
      <c r="D17" s="2345"/>
      <c r="E17" s="2346"/>
      <c r="F17" s="2347"/>
      <c r="G17" s="2348"/>
      <c r="H17" s="2348"/>
      <c r="I17" s="2348"/>
      <c r="J17" s="2348"/>
      <c r="K17" s="2348"/>
      <c r="L17" s="2348"/>
      <c r="M17" s="2348"/>
      <c r="N17" s="2348"/>
      <c r="O17" s="2348"/>
      <c r="P17" s="2348"/>
      <c r="Q17" s="2348"/>
      <c r="R17" s="2349"/>
      <c r="S17" s="1318">
        <f t="shared" si="1"/>
        <v>0</v>
      </c>
      <c r="T17" s="1319" cm="1">
        <f t="array" ref="T17">SUM(F17:R17)*SUM(C17:E17)-SUM(C17:E17*L17)</f>
        <v>0</v>
      </c>
      <c r="U17" s="1333"/>
      <c r="V17" s="984"/>
      <c r="W17" s="984"/>
      <c r="X17" s="984"/>
      <c r="Y17" s="984"/>
      <c r="Z17" s="984"/>
      <c r="AA17" s="984"/>
      <c r="AB17" s="984"/>
      <c r="AC17" s="984"/>
      <c r="AD17" s="984"/>
      <c r="AE17" s="984"/>
      <c r="AF17" s="984"/>
      <c r="AG17" s="984"/>
      <c r="AH17" s="984"/>
      <c r="AI17" s="984"/>
    </row>
    <row r="18" spans="1:35" s="5" customFormat="1" ht="14" customHeight="1">
      <c r="A18" s="985" t="s">
        <v>1400</v>
      </c>
      <c r="B18" s="1083"/>
      <c r="C18" s="1309"/>
      <c r="D18" s="1306"/>
      <c r="E18" s="1310"/>
      <c r="F18" s="1309"/>
      <c r="G18" s="1304"/>
      <c r="H18" s="1304"/>
      <c r="I18" s="1304"/>
      <c r="J18" s="1304"/>
      <c r="K18" s="1304"/>
      <c r="L18" s="1304"/>
      <c r="M18" s="1304"/>
      <c r="N18" s="1304"/>
      <c r="O18" s="1304"/>
      <c r="P18" s="1304"/>
      <c r="Q18" s="1304"/>
      <c r="R18" s="1316"/>
      <c r="S18" s="1318">
        <f t="shared" si="0"/>
        <v>0</v>
      </c>
      <c r="T18" s="1319" cm="1">
        <f t="array" ref="T18">SUM(F18:R18)*SUM(C18:E18)-SUM(C18:E18*L18)</f>
        <v>0</v>
      </c>
      <c r="U18" s="989"/>
      <c r="V18" s="984"/>
      <c r="W18" s="984"/>
      <c r="X18" s="984"/>
      <c r="Y18" s="984"/>
      <c r="Z18" s="984"/>
      <c r="AA18" s="984"/>
      <c r="AB18" s="984"/>
      <c r="AC18" s="984"/>
      <c r="AD18" s="984"/>
      <c r="AE18" s="984"/>
      <c r="AF18" s="984"/>
      <c r="AG18" s="984"/>
      <c r="AH18" s="984"/>
      <c r="AI18" s="984"/>
    </row>
    <row r="19" spans="1:35" s="5" customFormat="1" ht="14" customHeight="1" thickBot="1">
      <c r="A19" s="985" t="s">
        <v>1401</v>
      </c>
      <c r="B19" s="1084"/>
      <c r="C19" s="1311"/>
      <c r="D19" s="1312"/>
      <c r="E19" s="1313"/>
      <c r="F19" s="1317"/>
      <c r="G19" s="1305"/>
      <c r="H19" s="1305"/>
      <c r="I19" s="1305"/>
      <c r="J19" s="1305"/>
      <c r="K19" s="1305"/>
      <c r="L19" s="1305"/>
      <c r="M19" s="1305"/>
      <c r="N19" s="1305"/>
      <c r="O19" s="1305"/>
      <c r="P19" s="1305"/>
      <c r="Q19" s="1305"/>
      <c r="R19" s="1313"/>
      <c r="S19" s="1318">
        <f t="shared" si="0"/>
        <v>0</v>
      </c>
      <c r="T19" s="1319" cm="1">
        <f t="array" ref="T19">SUM(F19:R19)*SUM(C19:E19)-SUM(C19:E19*L19)</f>
        <v>0</v>
      </c>
      <c r="U19" s="989"/>
      <c r="V19" s="984"/>
      <c r="W19" s="984"/>
      <c r="X19" s="984"/>
      <c r="Y19" s="984"/>
      <c r="Z19" s="984"/>
      <c r="AA19" s="984"/>
      <c r="AB19" s="984"/>
      <c r="AC19" s="984"/>
      <c r="AD19" s="984"/>
      <c r="AE19" s="984"/>
      <c r="AF19" s="984"/>
      <c r="AG19" s="984"/>
      <c r="AH19" s="984"/>
      <c r="AI19" s="984"/>
    </row>
    <row r="20" spans="1:35" s="5" customFormat="1" ht="16.5" customHeight="1" thickBot="1">
      <c r="A20" s="986"/>
      <c r="B20" s="1276" t="str">
        <f>"Indtægter i alt til hovedskema. Lin. 18 og 25"</f>
        <v>Indtægter i alt til hovedskema. Lin. 18 og 25</v>
      </c>
      <c r="C20" s="1276"/>
      <c r="D20" s="1276"/>
      <c r="E20" s="1276"/>
      <c r="F20" s="1276"/>
      <c r="G20" s="1276"/>
      <c r="H20" s="1276"/>
      <c r="I20" s="1276"/>
      <c r="J20" s="1276"/>
      <c r="K20" s="1276"/>
      <c r="L20" s="1276"/>
      <c r="M20" s="1276"/>
      <c r="N20" s="1276"/>
      <c r="O20" s="1276"/>
      <c r="P20" s="1276"/>
      <c r="Q20" s="1276"/>
      <c r="R20" s="1276"/>
      <c r="S20" s="1320">
        <f>SUM(S10:S19)</f>
        <v>0</v>
      </c>
      <c r="T20" s="1321">
        <f>SUM(T10:T19)</f>
        <v>0</v>
      </c>
      <c r="U20" s="989"/>
      <c r="V20" s="984"/>
      <c r="W20" s="984"/>
      <c r="X20" s="984"/>
      <c r="Y20" s="984"/>
      <c r="Z20" s="984"/>
      <c r="AA20" s="984"/>
      <c r="AB20" s="984"/>
      <c r="AC20" s="984"/>
      <c r="AD20" s="984"/>
      <c r="AE20" s="984"/>
      <c r="AF20" s="984"/>
      <c r="AG20" s="984"/>
      <c r="AH20" s="984"/>
      <c r="AI20" s="984"/>
    </row>
    <row r="21" spans="1:35" s="5" customFormat="1" ht="24" customHeight="1">
      <c r="A21" s="3078" t="s">
        <v>1067</v>
      </c>
      <c r="B21" s="3079"/>
      <c r="C21" s="3079"/>
      <c r="D21" s="3079"/>
      <c r="E21" s="3079"/>
      <c r="F21" s="3079"/>
      <c r="G21" s="3079"/>
      <c r="H21" s="3079"/>
      <c r="I21" s="3079"/>
      <c r="J21" s="3079"/>
      <c r="K21" s="3079"/>
      <c r="L21" s="3079"/>
      <c r="M21" s="3079"/>
      <c r="N21" s="3079"/>
      <c r="O21" s="3079"/>
      <c r="P21" s="3079"/>
      <c r="Q21" s="3079"/>
      <c r="R21" s="3079"/>
      <c r="S21" s="3079"/>
      <c r="T21" s="3080"/>
      <c r="U21" s="984"/>
      <c r="V21" s="984"/>
      <c r="W21" s="984"/>
      <c r="X21" s="984"/>
      <c r="Y21" s="984"/>
      <c r="Z21" s="984"/>
      <c r="AA21" s="984"/>
      <c r="AB21" s="984"/>
      <c r="AC21" s="984"/>
      <c r="AD21" s="984"/>
      <c r="AE21" s="984"/>
      <c r="AF21" s="984"/>
      <c r="AG21" s="984"/>
      <c r="AH21" s="984"/>
    </row>
    <row r="22" spans="1:35" s="5" customFormat="1" ht="17" customHeight="1" thickBot="1">
      <c r="A22" s="3081" t="str">
        <f>"(ønskes flere rækker, kan disse indsættes imellem linie "&amp;U23&amp;" - "&amp;U27&amp;""</f>
        <v>(ønskes flere rækker, kan disse indsættes imellem linie 23 - 27</v>
      </c>
      <c r="B22" s="3082"/>
      <c r="C22" s="3082"/>
      <c r="D22" s="3082"/>
      <c r="E22" s="3082"/>
      <c r="F22" s="3082"/>
      <c r="G22" s="3082"/>
      <c r="H22" s="3082"/>
      <c r="I22" s="3082"/>
      <c r="J22" s="3082"/>
      <c r="K22" s="3082"/>
      <c r="L22" s="3082"/>
      <c r="M22" s="3082"/>
      <c r="N22" s="3082"/>
      <c r="O22" s="3082"/>
      <c r="P22" s="3082"/>
      <c r="Q22" s="3082"/>
      <c r="R22" s="3082"/>
      <c r="S22" s="3082"/>
      <c r="T22" s="3083"/>
      <c r="U22" s="984"/>
      <c r="V22" s="984"/>
      <c r="W22" s="984"/>
      <c r="X22" s="984"/>
      <c r="Y22" s="984"/>
      <c r="Z22" s="984"/>
      <c r="AA22" s="984"/>
      <c r="AB22" s="984"/>
      <c r="AC22" s="984"/>
      <c r="AD22" s="984"/>
      <c r="AE22" s="984"/>
      <c r="AF22" s="984"/>
      <c r="AG22" s="984"/>
      <c r="AH22" s="984"/>
    </row>
    <row r="23" spans="1:35" s="5" customFormat="1" ht="14" customHeight="1">
      <c r="A23" s="1302" t="s">
        <v>103</v>
      </c>
      <c r="B23" s="1303"/>
      <c r="C23" s="1303"/>
      <c r="D23" s="1303"/>
      <c r="E23" s="1303"/>
      <c r="F23" s="1303"/>
      <c r="G23" s="1303"/>
      <c r="H23" s="1303"/>
      <c r="I23" s="1303"/>
      <c r="J23" s="1303"/>
      <c r="K23" s="1303"/>
      <c r="L23" s="1303"/>
      <c r="M23" s="1303"/>
      <c r="N23" s="1303"/>
      <c r="O23" s="1303"/>
      <c r="P23" s="1303"/>
      <c r="Q23" s="1303"/>
      <c r="R23" s="1303"/>
      <c r="S23" s="3084"/>
      <c r="T23" s="3085"/>
      <c r="U23" s="989">
        <f>ROW(T23)</f>
        <v>23</v>
      </c>
      <c r="V23" s="984"/>
      <c r="W23" s="984"/>
      <c r="X23" s="984"/>
      <c r="Y23" s="984"/>
      <c r="Z23" s="984"/>
      <c r="AA23" s="984"/>
      <c r="AB23" s="984"/>
      <c r="AC23" s="984"/>
      <c r="AD23" s="984"/>
      <c r="AE23" s="984"/>
      <c r="AF23" s="984"/>
      <c r="AG23" s="984"/>
      <c r="AH23" s="984"/>
    </row>
    <row r="24" spans="1:35" s="5" customFormat="1" ht="14" customHeight="1">
      <c r="A24" s="3073" t="s">
        <v>166</v>
      </c>
      <c r="B24" s="3074"/>
      <c r="C24" s="3074"/>
      <c r="D24" s="3074"/>
      <c r="E24" s="3074"/>
      <c r="F24" s="3074"/>
      <c r="G24" s="3074"/>
      <c r="H24" s="3074"/>
      <c r="I24" s="3074"/>
      <c r="J24" s="3074"/>
      <c r="K24" s="3074"/>
      <c r="L24" s="3074"/>
      <c r="M24" s="3074"/>
      <c r="N24" s="3074"/>
      <c r="O24" s="3074"/>
      <c r="P24" s="3074"/>
      <c r="Q24" s="3074"/>
      <c r="R24" s="3090"/>
      <c r="S24" s="3086"/>
      <c r="T24" s="3087"/>
      <c r="U24" s="989"/>
      <c r="V24" s="984"/>
      <c r="W24" s="984"/>
      <c r="X24" s="984"/>
      <c r="Y24" s="984"/>
      <c r="Z24" s="984"/>
      <c r="AA24" s="984"/>
      <c r="AB24" s="984"/>
      <c r="AC24" s="984"/>
      <c r="AD24" s="984"/>
      <c r="AE24" s="984"/>
      <c r="AF24" s="984"/>
      <c r="AG24" s="984"/>
      <c r="AH24" s="984"/>
    </row>
    <row r="25" spans="1:35" s="5" customFormat="1" ht="14" customHeight="1">
      <c r="A25" s="3073" t="s">
        <v>1147</v>
      </c>
      <c r="B25" s="3074"/>
      <c r="C25" s="3074"/>
      <c r="D25" s="3074"/>
      <c r="E25" s="3074"/>
      <c r="F25" s="3074"/>
      <c r="G25" s="3074"/>
      <c r="H25" s="3074"/>
      <c r="I25" s="3074"/>
      <c r="J25" s="3074"/>
      <c r="K25" s="3074"/>
      <c r="L25" s="3074"/>
      <c r="M25" s="3074"/>
      <c r="N25" s="3074"/>
      <c r="O25" s="3074"/>
      <c r="P25" s="3074"/>
      <c r="Q25" s="3074"/>
      <c r="R25" s="3090"/>
      <c r="S25" s="3086"/>
      <c r="T25" s="3087"/>
      <c r="U25" s="989"/>
      <c r="V25" s="984"/>
      <c r="W25" s="984"/>
      <c r="X25" s="984"/>
      <c r="Y25" s="984"/>
      <c r="Z25" s="984"/>
      <c r="AA25" s="984"/>
      <c r="AB25" s="984"/>
      <c r="AC25" s="984"/>
      <c r="AD25" s="984"/>
      <c r="AE25" s="984"/>
      <c r="AF25" s="984"/>
      <c r="AG25" s="984"/>
      <c r="AH25" s="984"/>
    </row>
    <row r="26" spans="1:35" s="5" customFormat="1" ht="14" customHeight="1">
      <c r="A26" s="3073"/>
      <c r="B26" s="3074"/>
      <c r="C26" s="3074"/>
      <c r="D26" s="3074"/>
      <c r="E26" s="3074"/>
      <c r="F26" s="3074"/>
      <c r="G26" s="3074"/>
      <c r="H26" s="3074"/>
      <c r="I26" s="3074"/>
      <c r="J26" s="3074"/>
      <c r="K26" s="3074"/>
      <c r="L26" s="3074"/>
      <c r="M26" s="3074"/>
      <c r="N26" s="3074"/>
      <c r="O26" s="3074"/>
      <c r="P26" s="3074"/>
      <c r="Q26" s="3074"/>
      <c r="R26" s="3090"/>
      <c r="S26" s="3086"/>
      <c r="T26" s="3087"/>
      <c r="U26" s="989"/>
      <c r="V26" s="984"/>
      <c r="W26" s="984"/>
      <c r="X26" s="984"/>
      <c r="Y26" s="984"/>
      <c r="Z26" s="984"/>
      <c r="AA26" s="984"/>
      <c r="AB26" s="984"/>
      <c r="AC26" s="984"/>
      <c r="AD26" s="984"/>
      <c r="AE26" s="984"/>
      <c r="AF26" s="984"/>
      <c r="AG26" s="984"/>
      <c r="AH26" s="984"/>
    </row>
    <row r="27" spans="1:35" s="5" customFormat="1" ht="14" customHeight="1" thickBot="1">
      <c r="A27" s="3073"/>
      <c r="B27" s="3074"/>
      <c r="C27" s="3074"/>
      <c r="D27" s="3074"/>
      <c r="E27" s="3074"/>
      <c r="F27" s="3074"/>
      <c r="G27" s="3074"/>
      <c r="H27" s="3074"/>
      <c r="I27" s="3074"/>
      <c r="J27" s="3074"/>
      <c r="K27" s="3074"/>
      <c r="L27" s="3074"/>
      <c r="M27" s="3074"/>
      <c r="N27" s="3074"/>
      <c r="O27" s="3074"/>
      <c r="P27" s="3074"/>
      <c r="Q27" s="3074"/>
      <c r="R27" s="3090"/>
      <c r="S27" s="3088"/>
      <c r="T27" s="3089"/>
      <c r="U27" s="989">
        <f>ROW(T27)</f>
        <v>27</v>
      </c>
      <c r="V27" s="984"/>
      <c r="W27" s="984"/>
      <c r="X27" s="984"/>
      <c r="Y27" s="984"/>
      <c r="Z27" s="984"/>
      <c r="AA27" s="984"/>
      <c r="AB27" s="984"/>
      <c r="AC27" s="984"/>
      <c r="AD27" s="984"/>
      <c r="AE27" s="984"/>
      <c r="AF27" s="984"/>
      <c r="AG27" s="984"/>
      <c r="AH27" s="984"/>
    </row>
    <row r="28" spans="1:35" s="5" customFormat="1" ht="14" customHeight="1" thickBot="1">
      <c r="A28" s="1282" t="s">
        <v>1301</v>
      </c>
      <c r="B28" s="1277"/>
      <c r="C28" s="1277"/>
      <c r="D28" s="1277"/>
      <c r="E28" s="1277"/>
      <c r="F28" s="1277"/>
      <c r="G28" s="1277"/>
      <c r="H28" s="1277"/>
      <c r="I28" s="1277"/>
      <c r="J28" s="1277"/>
      <c r="K28" s="1277"/>
      <c r="L28" s="1277"/>
      <c r="M28" s="1277"/>
      <c r="N28" s="1277"/>
      <c r="O28" s="1277"/>
      <c r="P28" s="1277"/>
      <c r="Q28" s="1277"/>
      <c r="R28" s="1277"/>
      <c r="S28" s="3076">
        <f>SUM(S23:S27)</f>
        <v>0</v>
      </c>
      <c r="T28" s="3077"/>
      <c r="U28" s="984"/>
      <c r="V28" s="984"/>
      <c r="W28" s="984"/>
      <c r="X28" s="984"/>
      <c r="Y28" s="984"/>
      <c r="Z28" s="984"/>
      <c r="AA28" s="984"/>
      <c r="AB28" s="984"/>
      <c r="AC28" s="984"/>
      <c r="AD28" s="984"/>
      <c r="AE28" s="984"/>
      <c r="AF28" s="984"/>
      <c r="AG28" s="984"/>
      <c r="AH28" s="984"/>
    </row>
    <row r="29" spans="1:35" s="5" customFormat="1" ht="24" customHeight="1">
      <c r="A29" s="3078" t="s">
        <v>1499</v>
      </c>
      <c r="B29" s="3079"/>
      <c r="C29" s="3079"/>
      <c r="D29" s="3079"/>
      <c r="E29" s="3079"/>
      <c r="F29" s="3079"/>
      <c r="G29" s="3079"/>
      <c r="H29" s="3079"/>
      <c r="I29" s="3079"/>
      <c r="J29" s="3079"/>
      <c r="K29" s="3079"/>
      <c r="L29" s="3079"/>
      <c r="M29" s="3079"/>
      <c r="N29" s="3079"/>
      <c r="O29" s="3079"/>
      <c r="P29" s="3079"/>
      <c r="Q29" s="3079"/>
      <c r="R29" s="3079"/>
      <c r="S29" s="3079"/>
      <c r="T29" s="3080"/>
      <c r="U29" s="984"/>
      <c r="V29" s="984"/>
      <c r="W29" s="984"/>
      <c r="X29" s="984"/>
      <c r="Y29" s="984"/>
      <c r="Z29" s="984"/>
      <c r="AA29" s="984"/>
      <c r="AB29" s="984"/>
      <c r="AC29" s="984"/>
      <c r="AD29" s="984"/>
      <c r="AE29" s="984"/>
      <c r="AF29" s="984"/>
      <c r="AG29" s="984"/>
      <c r="AH29" s="984"/>
    </row>
    <row r="30" spans="1:35" s="5" customFormat="1" ht="17" customHeight="1" thickBot="1">
      <c r="A30" s="3081" t="str">
        <f>"(ønskes flere rækker, kan disse indsættes imellem linie "&amp;U31&amp;" - "&amp;U35&amp;""</f>
        <v>(ønskes flere rækker, kan disse indsættes imellem linie 31 - 35</v>
      </c>
      <c r="B30" s="3082"/>
      <c r="C30" s="3082"/>
      <c r="D30" s="3082"/>
      <c r="E30" s="3082"/>
      <c r="F30" s="3082"/>
      <c r="G30" s="3082"/>
      <c r="H30" s="3082"/>
      <c r="I30" s="3082"/>
      <c r="J30" s="3082"/>
      <c r="K30" s="3082"/>
      <c r="L30" s="3082"/>
      <c r="M30" s="3082"/>
      <c r="N30" s="3082"/>
      <c r="O30" s="3082"/>
      <c r="P30" s="3082"/>
      <c r="Q30" s="3082"/>
      <c r="R30" s="3082"/>
      <c r="S30" s="3189"/>
      <c r="T30" s="3190"/>
      <c r="U30" s="984"/>
      <c r="V30" s="984"/>
      <c r="W30" s="984"/>
      <c r="X30" s="984"/>
      <c r="Y30" s="984"/>
      <c r="Z30" s="984"/>
      <c r="AA30" s="984"/>
      <c r="AB30" s="984"/>
      <c r="AC30" s="984"/>
      <c r="AD30" s="984"/>
      <c r="AE30" s="984"/>
      <c r="AF30" s="984"/>
      <c r="AG30" s="984"/>
      <c r="AH30" s="984"/>
    </row>
    <row r="31" spans="1:35" s="5" customFormat="1" ht="14" customHeight="1">
      <c r="A31" s="3071" t="s">
        <v>1055</v>
      </c>
      <c r="B31" s="3072"/>
      <c r="C31" s="3072"/>
      <c r="D31" s="3072"/>
      <c r="E31" s="3072"/>
      <c r="F31" s="3072"/>
      <c r="G31" s="3072"/>
      <c r="H31" s="3072"/>
      <c r="I31" s="3072"/>
      <c r="J31" s="3072"/>
      <c r="K31" s="3072"/>
      <c r="L31" s="3072"/>
      <c r="M31" s="3072"/>
      <c r="N31" s="3072"/>
      <c r="O31" s="3072"/>
      <c r="P31" s="3072"/>
      <c r="Q31" s="3072"/>
      <c r="R31" s="3072"/>
      <c r="S31" s="3084"/>
      <c r="T31" s="3085"/>
      <c r="U31" s="989">
        <f>ROW(T31)</f>
        <v>31</v>
      </c>
      <c r="V31" s="984"/>
      <c r="W31" s="984"/>
      <c r="X31" s="984"/>
      <c r="Y31" s="984"/>
      <c r="Z31" s="984"/>
      <c r="AA31" s="984"/>
      <c r="AB31" s="984"/>
      <c r="AC31" s="984"/>
      <c r="AD31" s="984"/>
      <c r="AE31" s="984"/>
      <c r="AF31" s="984"/>
      <c r="AG31" s="984"/>
      <c r="AH31" s="984"/>
    </row>
    <row r="32" spans="1:35" s="5" customFormat="1" ht="14" customHeight="1">
      <c r="A32" s="3073"/>
      <c r="B32" s="3074"/>
      <c r="C32" s="3074"/>
      <c r="D32" s="3074"/>
      <c r="E32" s="3074"/>
      <c r="F32" s="3074"/>
      <c r="G32" s="3074"/>
      <c r="H32" s="3074"/>
      <c r="I32" s="3074"/>
      <c r="J32" s="3074"/>
      <c r="K32" s="3074"/>
      <c r="L32" s="3074"/>
      <c r="M32" s="3074"/>
      <c r="N32" s="3074"/>
      <c r="O32" s="3074"/>
      <c r="P32" s="3074"/>
      <c r="Q32" s="3074"/>
      <c r="R32" s="3075"/>
      <c r="S32" s="3191"/>
      <c r="T32" s="3192"/>
      <c r="U32" s="989"/>
      <c r="V32" s="984"/>
      <c r="W32" s="984"/>
      <c r="X32" s="984"/>
      <c r="Y32" s="984"/>
      <c r="Z32" s="984"/>
      <c r="AA32" s="984"/>
      <c r="AB32" s="984"/>
      <c r="AC32" s="984"/>
      <c r="AD32" s="984"/>
      <c r="AE32" s="984"/>
      <c r="AF32" s="984"/>
      <c r="AG32" s="984"/>
      <c r="AH32" s="984"/>
    </row>
    <row r="33" spans="1:35" s="5" customFormat="1" ht="14" customHeight="1">
      <c r="A33" s="3073"/>
      <c r="B33" s="3074"/>
      <c r="C33" s="3074"/>
      <c r="D33" s="3074"/>
      <c r="E33" s="3074"/>
      <c r="F33" s="3074"/>
      <c r="G33" s="3074"/>
      <c r="H33" s="3074"/>
      <c r="I33" s="3074"/>
      <c r="J33" s="3074"/>
      <c r="K33" s="3074"/>
      <c r="L33" s="3074"/>
      <c r="M33" s="3074"/>
      <c r="N33" s="3074"/>
      <c r="O33" s="3074"/>
      <c r="P33" s="3074"/>
      <c r="Q33" s="3074"/>
      <c r="R33" s="3075"/>
      <c r="S33" s="3191"/>
      <c r="T33" s="3192"/>
      <c r="U33" s="989"/>
      <c r="V33" s="984"/>
      <c r="W33" s="984"/>
      <c r="X33" s="984"/>
      <c r="Y33" s="984"/>
      <c r="Z33" s="984"/>
      <c r="AA33" s="984"/>
      <c r="AB33" s="984"/>
      <c r="AC33" s="984"/>
      <c r="AD33" s="984"/>
      <c r="AE33" s="984"/>
      <c r="AF33" s="984"/>
      <c r="AG33" s="984"/>
      <c r="AH33" s="984"/>
    </row>
    <row r="34" spans="1:35" s="5" customFormat="1" ht="14" customHeight="1">
      <c r="A34" s="3073"/>
      <c r="B34" s="3074"/>
      <c r="C34" s="3074"/>
      <c r="D34" s="3074"/>
      <c r="E34" s="3074"/>
      <c r="F34" s="3074"/>
      <c r="G34" s="3074"/>
      <c r="H34" s="3074"/>
      <c r="I34" s="3074"/>
      <c r="J34" s="3074"/>
      <c r="K34" s="3074"/>
      <c r="L34" s="3074"/>
      <c r="M34" s="3074"/>
      <c r="N34" s="3074"/>
      <c r="O34" s="3074"/>
      <c r="P34" s="3074"/>
      <c r="Q34" s="3074"/>
      <c r="R34" s="3075"/>
      <c r="S34" s="3191"/>
      <c r="T34" s="3192"/>
      <c r="U34" s="989"/>
      <c r="V34" s="984"/>
      <c r="W34" s="984"/>
      <c r="X34" s="984"/>
      <c r="Y34" s="984"/>
      <c r="Z34" s="984"/>
      <c r="AA34" s="984"/>
      <c r="AB34" s="984"/>
      <c r="AC34" s="984"/>
      <c r="AD34" s="984"/>
      <c r="AE34" s="984"/>
      <c r="AF34" s="984"/>
      <c r="AG34" s="984"/>
      <c r="AH34" s="984"/>
    </row>
    <row r="35" spans="1:35" s="5" customFormat="1" ht="14" customHeight="1" thickBot="1">
      <c r="A35" s="3073"/>
      <c r="B35" s="3074"/>
      <c r="C35" s="3074"/>
      <c r="D35" s="3074"/>
      <c r="E35" s="3074"/>
      <c r="F35" s="3074"/>
      <c r="G35" s="3074"/>
      <c r="H35" s="3074"/>
      <c r="I35" s="3074"/>
      <c r="J35" s="3074"/>
      <c r="K35" s="3074"/>
      <c r="L35" s="3074"/>
      <c r="M35" s="3074"/>
      <c r="N35" s="3074"/>
      <c r="O35" s="3074"/>
      <c r="P35" s="3074"/>
      <c r="Q35" s="3074"/>
      <c r="R35" s="3075"/>
      <c r="S35" s="3191"/>
      <c r="T35" s="3192"/>
      <c r="U35" s="989">
        <f>ROW(T35)</f>
        <v>35</v>
      </c>
      <c r="V35" s="984"/>
      <c r="W35" s="984"/>
      <c r="X35" s="984"/>
      <c r="Y35" s="984"/>
      <c r="Z35" s="984"/>
      <c r="AA35" s="984"/>
      <c r="AB35" s="984"/>
      <c r="AC35" s="984"/>
      <c r="AD35" s="984"/>
      <c r="AE35" s="984"/>
      <c r="AF35" s="984"/>
      <c r="AG35" s="984"/>
      <c r="AH35" s="984"/>
    </row>
    <row r="36" spans="1:35" s="5" customFormat="1" ht="14" customHeight="1" thickBot="1">
      <c r="A36" s="3159" t="s">
        <v>1302</v>
      </c>
      <c r="B36" s="3160"/>
      <c r="C36" s="3160"/>
      <c r="D36" s="3160"/>
      <c r="E36" s="3160"/>
      <c r="F36" s="3160"/>
      <c r="G36" s="3160"/>
      <c r="H36" s="3160"/>
      <c r="I36" s="3160"/>
      <c r="J36" s="3160"/>
      <c r="K36" s="3160"/>
      <c r="L36" s="3160"/>
      <c r="M36" s="3160"/>
      <c r="N36" s="3160"/>
      <c r="O36" s="3160"/>
      <c r="P36" s="3160"/>
      <c r="Q36" s="3160"/>
      <c r="R36" s="3160"/>
      <c r="S36" s="3193">
        <f>SUM(S31:S35)</f>
        <v>0</v>
      </c>
      <c r="T36" s="3194"/>
      <c r="U36" s="984"/>
      <c r="V36" s="984"/>
      <c r="W36" s="984"/>
      <c r="X36" s="984"/>
      <c r="Y36" s="984"/>
      <c r="Z36" s="984"/>
      <c r="AA36" s="984"/>
      <c r="AB36" s="984"/>
      <c r="AC36" s="984"/>
      <c r="AD36" s="984"/>
      <c r="AE36" s="984"/>
      <c r="AF36" s="984"/>
      <c r="AG36" s="984"/>
      <c r="AH36" s="984"/>
    </row>
    <row r="37" spans="1:35" s="5" customFormat="1" ht="16.5" customHeight="1" thickBot="1">
      <c r="A37" s="990"/>
      <c r="B37" s="868"/>
      <c r="C37" s="868"/>
      <c r="D37" s="868"/>
      <c r="E37" s="868"/>
      <c r="F37" s="868"/>
      <c r="G37" s="868"/>
      <c r="H37" s="868"/>
      <c r="I37" s="868"/>
      <c r="J37" s="868"/>
      <c r="K37" s="868"/>
      <c r="L37" s="868"/>
      <c r="M37" s="868"/>
      <c r="N37" s="868"/>
      <c r="O37" s="868"/>
      <c r="P37" s="868"/>
      <c r="Q37" s="868"/>
      <c r="R37" s="991"/>
      <c r="S37" s="991"/>
      <c r="T37" s="992"/>
      <c r="U37" s="993"/>
      <c r="V37" s="988"/>
      <c r="W37" s="984"/>
      <c r="X37" s="984"/>
      <c r="Y37" s="984"/>
      <c r="Z37" s="984"/>
      <c r="AA37" s="984"/>
      <c r="AB37" s="984"/>
      <c r="AC37" s="984"/>
      <c r="AD37" s="984"/>
      <c r="AE37" s="984"/>
      <c r="AF37" s="984"/>
      <c r="AG37" s="984"/>
      <c r="AH37" s="984"/>
      <c r="AI37" s="984"/>
    </row>
    <row r="38" spans="1:35" ht="38" customHeight="1" thickBot="1">
      <c r="A38" s="3178"/>
      <c r="B38" s="3179"/>
      <c r="C38" s="3179"/>
      <c r="D38" s="3179"/>
      <c r="E38" s="3179"/>
      <c r="F38" s="3179"/>
      <c r="G38" s="3179"/>
      <c r="H38" s="3179"/>
      <c r="I38" s="3179"/>
      <c r="J38" s="3179"/>
      <c r="K38" s="3179"/>
      <c r="L38" s="3179"/>
      <c r="M38" s="3179"/>
      <c r="N38" s="3179"/>
      <c r="O38" s="3179"/>
      <c r="P38" s="3179"/>
      <c r="Q38" s="3179"/>
      <c r="R38" s="3179"/>
      <c r="S38" s="3179"/>
      <c r="T38" s="3180"/>
      <c r="U38" s="939"/>
      <c r="V38" s="939"/>
      <c r="W38" s="939"/>
      <c r="X38" s="939"/>
      <c r="Y38" s="939"/>
      <c r="Z38" s="939"/>
      <c r="AA38" s="939"/>
      <c r="AB38" s="939"/>
      <c r="AC38" s="939"/>
      <c r="AD38" s="939"/>
      <c r="AE38" s="939"/>
      <c r="AF38" s="939"/>
      <c r="AG38" s="939"/>
      <c r="AH38" s="939"/>
      <c r="AI38" s="939"/>
    </row>
    <row r="39" spans="1:35" s="5" customFormat="1" ht="34" customHeight="1">
      <c r="A39" s="3181" t="s">
        <v>1130</v>
      </c>
      <c r="B39" s="3182"/>
      <c r="C39" s="3182"/>
      <c r="D39" s="3182"/>
      <c r="E39" s="1102"/>
      <c r="F39" s="3183" t="s">
        <v>1131</v>
      </c>
      <c r="G39" s="3184"/>
      <c r="H39" s="3184"/>
      <c r="I39" s="3184"/>
      <c r="J39" s="3184"/>
      <c r="K39" s="3184"/>
      <c r="L39" s="3184"/>
      <c r="M39" s="3184"/>
      <c r="N39" s="3184"/>
      <c r="O39" s="3184"/>
      <c r="P39" s="3184"/>
      <c r="Q39" s="3184"/>
      <c r="R39" s="3183"/>
      <c r="S39" s="3183"/>
      <c r="T39" s="932"/>
      <c r="U39" s="984"/>
      <c r="V39" s="984"/>
      <c r="W39" s="984"/>
      <c r="X39" s="984"/>
      <c r="Y39" s="984"/>
      <c r="Z39" s="984"/>
      <c r="AA39" s="984"/>
      <c r="AB39" s="984"/>
      <c r="AC39" s="984"/>
      <c r="AD39" s="984"/>
      <c r="AE39" s="984"/>
      <c r="AF39" s="984"/>
      <c r="AG39" s="984"/>
      <c r="AH39" s="984"/>
      <c r="AI39" s="984"/>
    </row>
    <row r="40" spans="1:35" s="5" customFormat="1" ht="34" customHeight="1" thickBot="1">
      <c r="A40" s="3185" t="s">
        <v>1129</v>
      </c>
      <c r="B40" s="3186"/>
      <c r="C40" s="3186"/>
      <c r="D40" s="3186"/>
      <c r="E40" s="1103"/>
      <c r="F40" s="3187" t="s">
        <v>1132</v>
      </c>
      <c r="G40" s="3188"/>
      <c r="H40" s="3188"/>
      <c r="I40" s="3188"/>
      <c r="J40" s="3188"/>
      <c r="K40" s="3188"/>
      <c r="L40" s="3188"/>
      <c r="M40" s="3188"/>
      <c r="N40" s="3188"/>
      <c r="O40" s="3188"/>
      <c r="P40" s="3188"/>
      <c r="Q40" s="3188"/>
      <c r="R40" s="3187"/>
      <c r="S40" s="3187"/>
      <c r="T40" s="933"/>
      <c r="U40" s="984"/>
      <c r="V40" s="984"/>
      <c r="W40" s="984"/>
      <c r="X40" s="984"/>
      <c r="Y40" s="984"/>
      <c r="Z40" s="984"/>
      <c r="AA40" s="984"/>
      <c r="AB40" s="984"/>
      <c r="AC40" s="984"/>
      <c r="AD40" s="984"/>
      <c r="AE40" s="984"/>
      <c r="AF40" s="984"/>
      <c r="AG40" s="984"/>
      <c r="AH40" s="984"/>
      <c r="AI40" s="984"/>
    </row>
    <row r="41" spans="1:35" s="5" customFormat="1" ht="34" customHeight="1" thickBot="1">
      <c r="A41" s="3064" t="str">
        <f>"Vuggestueindtægter januar - december " &amp; budgetår</f>
        <v>Vuggestueindtægter januar - december 2024</v>
      </c>
      <c r="B41" s="3065"/>
      <c r="C41" s="3065"/>
      <c r="D41" s="3065"/>
      <c r="E41" s="3065"/>
      <c r="F41" s="3065"/>
      <c r="G41" s="3065"/>
      <c r="H41" s="3065"/>
      <c r="I41" s="3065"/>
      <c r="J41" s="3065"/>
      <c r="K41" s="3065"/>
      <c r="L41" s="3065"/>
      <c r="M41" s="3065"/>
      <c r="N41" s="3065"/>
      <c r="O41" s="3065"/>
      <c r="P41" s="3065"/>
      <c r="Q41" s="3065"/>
      <c r="R41" s="3065"/>
      <c r="S41" s="3065"/>
      <c r="T41" s="3066"/>
      <c r="U41" s="984"/>
      <c r="V41" s="984"/>
      <c r="W41" s="984"/>
      <c r="X41" s="984"/>
      <c r="Y41" s="984"/>
      <c r="Z41" s="984"/>
      <c r="AA41" s="984"/>
      <c r="AB41" s="984"/>
      <c r="AC41" s="984"/>
      <c r="AD41" s="984"/>
      <c r="AE41" s="984"/>
      <c r="AF41" s="984"/>
      <c r="AG41" s="984"/>
      <c r="AH41" s="984"/>
      <c r="AI41" s="984"/>
    </row>
    <row r="42" spans="1:35" s="22" customFormat="1" ht="25" customHeight="1" thickBot="1">
      <c r="A42" s="979"/>
      <c r="B42" s="1280" t="s">
        <v>104</v>
      </c>
      <c r="C42" s="3061" t="s">
        <v>895</v>
      </c>
      <c r="D42" s="3062"/>
      <c r="E42" s="3063"/>
      <c r="F42" s="3052" t="s">
        <v>1490</v>
      </c>
      <c r="G42" s="3053"/>
      <c r="H42" s="3053"/>
      <c r="I42" s="3053"/>
      <c r="J42" s="3053"/>
      <c r="K42" s="3053"/>
      <c r="L42" s="3053"/>
      <c r="M42" s="3053"/>
      <c r="N42" s="3053"/>
      <c r="O42" s="3053"/>
      <c r="P42" s="3053"/>
      <c r="Q42" s="3053"/>
      <c r="R42" s="3054"/>
      <c r="S42" s="3052" t="s">
        <v>1266</v>
      </c>
      <c r="T42" s="3054"/>
      <c r="U42" s="980"/>
      <c r="V42" s="980"/>
      <c r="W42" s="980"/>
      <c r="X42" s="980"/>
      <c r="Y42" s="980"/>
      <c r="Z42" s="980"/>
      <c r="AA42" s="980"/>
      <c r="AB42" s="980"/>
      <c r="AC42" s="980"/>
      <c r="AD42" s="980"/>
      <c r="AE42" s="980"/>
      <c r="AF42" s="980"/>
      <c r="AG42" s="980"/>
      <c r="AH42" s="980"/>
    </row>
    <row r="43" spans="1:35" s="22" customFormat="1" ht="25" customHeight="1" thickBot="1">
      <c r="A43" s="2464"/>
      <c r="B43" s="2465" t="s">
        <v>1489</v>
      </c>
      <c r="C43" s="3050" t="s">
        <v>1489</v>
      </c>
      <c r="D43" s="3050"/>
      <c r="E43" s="3050"/>
      <c r="F43" s="3055"/>
      <c r="G43" s="3056"/>
      <c r="H43" s="3056"/>
      <c r="I43" s="3056"/>
      <c r="J43" s="3056"/>
      <c r="K43" s="3056"/>
      <c r="L43" s="3056"/>
      <c r="M43" s="3056"/>
      <c r="N43" s="3056"/>
      <c r="O43" s="3056"/>
      <c r="P43" s="3056"/>
      <c r="Q43" s="3056"/>
      <c r="R43" s="3057"/>
      <c r="S43" s="3055"/>
      <c r="T43" s="3057"/>
      <c r="U43" s="980"/>
      <c r="V43" s="980"/>
      <c r="W43" s="980"/>
      <c r="X43" s="980"/>
      <c r="Y43" s="980"/>
      <c r="Z43" s="980"/>
      <c r="AA43" s="980"/>
      <c r="AB43" s="980"/>
      <c r="AC43" s="980"/>
      <c r="AD43" s="980"/>
      <c r="AE43" s="980"/>
      <c r="AF43" s="980"/>
      <c r="AG43" s="980"/>
      <c r="AH43" s="980"/>
    </row>
    <row r="44" spans="1:35" s="22" customFormat="1" ht="25" customHeight="1" thickBot="1">
      <c r="A44" s="2464"/>
      <c r="B44" s="2466"/>
      <c r="C44" s="3051"/>
      <c r="D44" s="3051"/>
      <c r="E44" s="3051"/>
      <c r="F44" s="3058"/>
      <c r="G44" s="3059"/>
      <c r="H44" s="3059"/>
      <c r="I44" s="3059"/>
      <c r="J44" s="3059"/>
      <c r="K44" s="3059"/>
      <c r="L44" s="3059"/>
      <c r="M44" s="3059"/>
      <c r="N44" s="3059"/>
      <c r="O44" s="3059"/>
      <c r="P44" s="3059"/>
      <c r="Q44" s="3059"/>
      <c r="R44" s="3060"/>
      <c r="S44" s="3058"/>
      <c r="T44" s="3060"/>
      <c r="U44" s="980"/>
      <c r="V44" s="980"/>
      <c r="W44" s="980"/>
      <c r="X44" s="980"/>
      <c r="Y44" s="980"/>
      <c r="Z44" s="980"/>
      <c r="AA44" s="980"/>
      <c r="AB44" s="980"/>
      <c r="AC44" s="980"/>
      <c r="AD44" s="980"/>
      <c r="AE44" s="980"/>
      <c r="AF44" s="980"/>
      <c r="AG44" s="980"/>
      <c r="AH44" s="980"/>
    </row>
    <row r="45" spans="1:35" s="24" customFormat="1" ht="63" customHeight="1">
      <c r="A45" s="981" t="s">
        <v>1128</v>
      </c>
      <c r="B45" s="1278" t="s">
        <v>1267</v>
      </c>
      <c r="C45" s="1278" t="s">
        <v>1069</v>
      </c>
      <c r="D45" s="1279" t="s">
        <v>1070</v>
      </c>
      <c r="E45" s="1301" t="s">
        <v>1071</v>
      </c>
      <c r="F45" s="1323" t="s">
        <v>1254</v>
      </c>
      <c r="G45" s="1281" t="s">
        <v>1255</v>
      </c>
      <c r="H45" s="1281" t="s">
        <v>1256</v>
      </c>
      <c r="I45" s="1281" t="s">
        <v>1257</v>
      </c>
      <c r="J45" s="1281" t="s">
        <v>1252</v>
      </c>
      <c r="K45" s="1281" t="s">
        <v>1258</v>
      </c>
      <c r="L45" s="1281" t="s">
        <v>1270</v>
      </c>
      <c r="M45" s="1281" t="s">
        <v>1269</v>
      </c>
      <c r="N45" s="1281" t="s">
        <v>1259</v>
      </c>
      <c r="O45" s="1281" t="s">
        <v>1253</v>
      </c>
      <c r="P45" s="1281" t="s">
        <v>1261</v>
      </c>
      <c r="Q45" s="1281" t="s">
        <v>1260</v>
      </c>
      <c r="R45" s="1301" t="s">
        <v>1262</v>
      </c>
      <c r="S45" s="1325" t="s">
        <v>1264</v>
      </c>
      <c r="T45" s="1301" t="s">
        <v>1265</v>
      </c>
      <c r="U45" s="1332"/>
      <c r="V45" s="982"/>
      <c r="W45" s="982"/>
      <c r="X45" s="982"/>
      <c r="Y45" s="982"/>
      <c r="Z45" s="982"/>
      <c r="AA45" s="982"/>
      <c r="AB45" s="982"/>
      <c r="AC45" s="982"/>
      <c r="AD45" s="982"/>
      <c r="AE45" s="982"/>
      <c r="AF45" s="982"/>
      <c r="AG45" s="982"/>
      <c r="AH45" s="982"/>
      <c r="AI45" s="982"/>
    </row>
    <row r="46" spans="1:35" s="5" customFormat="1" ht="14" customHeight="1">
      <c r="A46" s="983" t="s">
        <v>141</v>
      </c>
      <c r="B46" s="1083"/>
      <c r="C46" s="1309"/>
      <c r="D46" s="1306"/>
      <c r="E46" s="1310"/>
      <c r="F46" s="1309"/>
      <c r="G46" s="1304"/>
      <c r="H46" s="1304"/>
      <c r="I46" s="1304"/>
      <c r="J46" s="1304"/>
      <c r="K46" s="1304"/>
      <c r="L46" s="1304"/>
      <c r="M46" s="1304"/>
      <c r="N46" s="1304"/>
      <c r="O46" s="1304"/>
      <c r="P46" s="1304"/>
      <c r="Q46" s="1304"/>
      <c r="R46" s="1316"/>
      <c r="S46" s="1318">
        <f>SUM(F46:R46)*B46-(M46*B46)</f>
        <v>0</v>
      </c>
      <c r="T46" s="1319" cm="1">
        <f t="array" ref="T46">SUM(F46:R46)*SUM(C46:E46)-SUM(C46:E46*L46)</f>
        <v>0</v>
      </c>
      <c r="U46" s="989">
        <f>SUM(F46:R55)</f>
        <v>0</v>
      </c>
      <c r="V46" s="984"/>
      <c r="W46" s="984"/>
      <c r="X46" s="984"/>
      <c r="Y46" s="984"/>
      <c r="Z46" s="984"/>
      <c r="AA46" s="984"/>
      <c r="AB46" s="984"/>
      <c r="AC46" s="984"/>
      <c r="AD46" s="984"/>
      <c r="AE46" s="984"/>
      <c r="AF46" s="984"/>
      <c r="AG46" s="984"/>
      <c r="AH46" s="984"/>
      <c r="AI46" s="984"/>
    </row>
    <row r="47" spans="1:35" s="5" customFormat="1" ht="14" customHeight="1">
      <c r="A47" s="983" t="s">
        <v>287</v>
      </c>
      <c r="B47" s="1176"/>
      <c r="C47" s="1177"/>
      <c r="D47" s="1306"/>
      <c r="E47" s="1310"/>
      <c r="F47" s="1309"/>
      <c r="G47" s="1304"/>
      <c r="H47" s="1304"/>
      <c r="I47" s="1304"/>
      <c r="J47" s="1304"/>
      <c r="K47" s="1304"/>
      <c r="L47" s="1304"/>
      <c r="M47" s="1304"/>
      <c r="N47" s="1304"/>
      <c r="O47" s="1304"/>
      <c r="P47" s="1304"/>
      <c r="Q47" s="1304"/>
      <c r="R47" s="1316"/>
      <c r="S47" s="1318">
        <f t="shared" ref="S47:S55" si="2">SUM(F47:R47)*B47-(M47*B47)</f>
        <v>0</v>
      </c>
      <c r="T47" s="1319" cm="1">
        <f t="array" ref="T47">SUM(F47:R47)*SUM(C47:E47)-SUM(C47:E47*L47)</f>
        <v>0</v>
      </c>
      <c r="U47" s="989">
        <f>SUM(L46:L55)</f>
        <v>0</v>
      </c>
      <c r="V47" s="984"/>
      <c r="W47" s="984"/>
      <c r="X47" s="984"/>
      <c r="Y47" s="984"/>
      <c r="Z47" s="984"/>
      <c r="AA47" s="984"/>
      <c r="AB47" s="984"/>
      <c r="AC47" s="984"/>
      <c r="AD47" s="984"/>
      <c r="AE47" s="984"/>
      <c r="AF47" s="984"/>
      <c r="AG47" s="984"/>
      <c r="AH47" s="984"/>
      <c r="AI47" s="984"/>
    </row>
    <row r="48" spans="1:35" s="5" customFormat="1" ht="14" customHeight="1">
      <c r="A48" s="983" t="s">
        <v>250</v>
      </c>
      <c r="B48" s="1083"/>
      <c r="C48" s="1309"/>
      <c r="D48" s="1306"/>
      <c r="E48" s="1310"/>
      <c r="F48" s="1309"/>
      <c r="G48" s="1304"/>
      <c r="H48" s="1304"/>
      <c r="I48" s="1304"/>
      <c r="J48" s="1304"/>
      <c r="K48" s="1304"/>
      <c r="L48" s="1304"/>
      <c r="M48" s="1304"/>
      <c r="N48" s="1304"/>
      <c r="O48" s="1304"/>
      <c r="P48" s="1304"/>
      <c r="Q48" s="1304"/>
      <c r="R48" s="1316"/>
      <c r="S48" s="1318">
        <f t="shared" si="2"/>
        <v>0</v>
      </c>
      <c r="T48" s="1319" cm="1">
        <f t="array" ref="T48">SUM(F48:R48)*SUM(C48:E48)-SUM(C48:E48*L48)</f>
        <v>0</v>
      </c>
      <c r="U48" s="989">
        <f>U46-U47</f>
        <v>0</v>
      </c>
      <c r="V48" s="984"/>
      <c r="W48" s="984"/>
      <c r="X48" s="984"/>
      <c r="Y48" s="984"/>
      <c r="Z48" s="984"/>
      <c r="AA48" s="984"/>
      <c r="AB48" s="984"/>
      <c r="AC48" s="984"/>
      <c r="AD48" s="984"/>
      <c r="AE48" s="984"/>
      <c r="AF48" s="984"/>
      <c r="AG48" s="984"/>
      <c r="AH48" s="984"/>
      <c r="AI48" s="984"/>
    </row>
    <row r="49" spans="1:35" s="5" customFormat="1" ht="14" customHeight="1">
      <c r="A49" s="983" t="s">
        <v>251</v>
      </c>
      <c r="B49" s="1176"/>
      <c r="C49" s="1177"/>
      <c r="D49" s="1306"/>
      <c r="E49" s="1310"/>
      <c r="F49" s="1309"/>
      <c r="G49" s="1304"/>
      <c r="H49" s="1304"/>
      <c r="I49" s="1304"/>
      <c r="J49" s="1304"/>
      <c r="K49" s="1304"/>
      <c r="L49" s="1304"/>
      <c r="M49" s="1304"/>
      <c r="N49" s="1304"/>
      <c r="O49" s="1304"/>
      <c r="P49" s="1304"/>
      <c r="Q49" s="1304"/>
      <c r="R49" s="1316"/>
      <c r="S49" s="1318">
        <f t="shared" si="2"/>
        <v>0</v>
      </c>
      <c r="T49" s="1319" cm="1">
        <f t="array" ref="T49">SUM(F49:R49)*SUM(C49:E49)-SUM(C49:E49*L49)</f>
        <v>0</v>
      </c>
      <c r="U49" s="1333">
        <f>IF(T39&gt;0,U48/T39,0)</f>
        <v>0</v>
      </c>
      <c r="V49" s="984"/>
      <c r="W49" s="984"/>
      <c r="X49" s="984"/>
      <c r="Y49" s="984"/>
      <c r="Z49" s="984"/>
      <c r="AA49" s="984"/>
      <c r="AB49" s="984"/>
      <c r="AC49" s="984"/>
      <c r="AD49" s="984"/>
      <c r="AE49" s="984"/>
      <c r="AF49" s="984"/>
      <c r="AG49" s="984"/>
      <c r="AH49" s="984"/>
      <c r="AI49" s="984"/>
    </row>
    <row r="50" spans="1:35" s="5" customFormat="1" ht="14" customHeight="1">
      <c r="A50" s="983" t="s">
        <v>896</v>
      </c>
      <c r="B50" s="1176"/>
      <c r="C50" s="1177"/>
      <c r="D50" s="2345"/>
      <c r="E50" s="2346"/>
      <c r="F50" s="2347"/>
      <c r="G50" s="2348"/>
      <c r="H50" s="2348"/>
      <c r="I50" s="2348"/>
      <c r="J50" s="2348"/>
      <c r="K50" s="2348"/>
      <c r="L50" s="2348"/>
      <c r="M50" s="2348"/>
      <c r="N50" s="2348"/>
      <c r="O50" s="2348"/>
      <c r="P50" s="2348"/>
      <c r="Q50" s="2348"/>
      <c r="R50" s="2349"/>
      <c r="S50" s="1318">
        <f>SUM(F50:R50)*B50-(M50*B50)</f>
        <v>0</v>
      </c>
      <c r="T50" s="1319" cm="1">
        <f t="array" ref="T50">SUM(F50:R50)*SUM(C50:E50)-SUM(C50:E50*L50)</f>
        <v>0</v>
      </c>
      <c r="U50" s="1333"/>
      <c r="V50" s="984"/>
      <c r="W50" s="984"/>
      <c r="X50" s="984"/>
      <c r="Y50" s="984"/>
      <c r="Z50" s="984"/>
      <c r="AA50" s="984"/>
      <c r="AB50" s="984"/>
      <c r="AC50" s="984"/>
      <c r="AD50" s="984"/>
      <c r="AE50" s="984"/>
      <c r="AF50" s="984"/>
      <c r="AG50" s="984"/>
      <c r="AH50" s="984"/>
      <c r="AI50" s="984"/>
    </row>
    <row r="51" spans="1:35" s="5" customFormat="1" ht="14" customHeight="1">
      <c r="A51" s="983" t="s">
        <v>897</v>
      </c>
      <c r="B51" s="1176"/>
      <c r="C51" s="1177"/>
      <c r="D51" s="2345"/>
      <c r="E51" s="2346"/>
      <c r="F51" s="2347"/>
      <c r="G51" s="2348"/>
      <c r="H51" s="2348"/>
      <c r="I51" s="2348"/>
      <c r="J51" s="2348"/>
      <c r="K51" s="2348"/>
      <c r="L51" s="2348"/>
      <c r="M51" s="2348"/>
      <c r="N51" s="2348"/>
      <c r="O51" s="2348"/>
      <c r="P51" s="2348"/>
      <c r="Q51" s="2348"/>
      <c r="R51" s="2349"/>
      <c r="S51" s="1318">
        <f t="shared" ref="S51:S53" si="3">SUM(F51:R51)*B51-(M51*B51)</f>
        <v>0</v>
      </c>
      <c r="T51" s="1319" cm="1">
        <f t="array" ref="T51">SUM(F51:R51)*SUM(C51:E51)-SUM(C51:E51*L51)</f>
        <v>0</v>
      </c>
      <c r="U51" s="1333"/>
      <c r="V51" s="984"/>
      <c r="W51" s="984"/>
      <c r="X51" s="984"/>
      <c r="Y51" s="984"/>
      <c r="Z51" s="984"/>
      <c r="AA51" s="984"/>
      <c r="AB51" s="984"/>
      <c r="AC51" s="984"/>
      <c r="AD51" s="984"/>
      <c r="AE51" s="984"/>
      <c r="AF51" s="984"/>
      <c r="AG51" s="984"/>
      <c r="AH51" s="984"/>
      <c r="AI51" s="984"/>
    </row>
    <row r="52" spans="1:35" s="5" customFormat="1" ht="14" customHeight="1">
      <c r="A52" s="983" t="s">
        <v>1082</v>
      </c>
      <c r="B52" s="1176"/>
      <c r="C52" s="1177"/>
      <c r="D52" s="2345"/>
      <c r="E52" s="2346"/>
      <c r="F52" s="2347"/>
      <c r="G52" s="2348"/>
      <c r="H52" s="2348"/>
      <c r="I52" s="2348"/>
      <c r="J52" s="2348"/>
      <c r="K52" s="2348"/>
      <c r="L52" s="2348"/>
      <c r="M52" s="2348"/>
      <c r="N52" s="2348"/>
      <c r="O52" s="2348"/>
      <c r="P52" s="2348"/>
      <c r="Q52" s="2348"/>
      <c r="R52" s="2349"/>
      <c r="S52" s="1318">
        <f t="shared" si="3"/>
        <v>0</v>
      </c>
      <c r="T52" s="1319" cm="1">
        <f t="array" ref="T52">SUM(F52:R52)*SUM(C52:E52)-SUM(C52:E52*L52)</f>
        <v>0</v>
      </c>
      <c r="U52" s="1333"/>
      <c r="V52" s="984"/>
      <c r="W52" s="984"/>
      <c r="X52" s="984"/>
      <c r="Y52" s="984"/>
      <c r="Z52" s="984"/>
      <c r="AA52" s="984"/>
      <c r="AB52" s="984"/>
      <c r="AC52" s="984"/>
      <c r="AD52" s="984"/>
      <c r="AE52" s="984"/>
      <c r="AF52" s="984"/>
      <c r="AG52" s="984"/>
      <c r="AH52" s="984"/>
      <c r="AI52" s="984"/>
    </row>
    <row r="53" spans="1:35" s="5" customFormat="1" ht="14" customHeight="1">
      <c r="A53" s="983" t="s">
        <v>1083</v>
      </c>
      <c r="B53" s="1176"/>
      <c r="C53" s="1177"/>
      <c r="D53" s="2345"/>
      <c r="E53" s="2346"/>
      <c r="F53" s="2347"/>
      <c r="G53" s="2348"/>
      <c r="H53" s="2348"/>
      <c r="I53" s="2348"/>
      <c r="J53" s="2348"/>
      <c r="K53" s="2348"/>
      <c r="L53" s="2348"/>
      <c r="M53" s="2348"/>
      <c r="N53" s="2348"/>
      <c r="O53" s="2348"/>
      <c r="P53" s="2348"/>
      <c r="Q53" s="2348"/>
      <c r="R53" s="2349"/>
      <c r="S53" s="1318">
        <f t="shared" si="3"/>
        <v>0</v>
      </c>
      <c r="T53" s="1319" cm="1">
        <f t="array" ref="T53">SUM(F53:R53)*SUM(C53:E53)-SUM(C53:E53*L53)</f>
        <v>0</v>
      </c>
      <c r="U53" s="1333"/>
      <c r="V53" s="984"/>
      <c r="W53" s="984"/>
      <c r="X53" s="984"/>
      <c r="Y53" s="984"/>
      <c r="Z53" s="984"/>
      <c r="AA53" s="984"/>
      <c r="AB53" s="984"/>
      <c r="AC53" s="984"/>
      <c r="AD53" s="984"/>
      <c r="AE53" s="984"/>
      <c r="AF53" s="984"/>
      <c r="AG53" s="984"/>
      <c r="AH53" s="984"/>
      <c r="AI53" s="984"/>
    </row>
    <row r="54" spans="1:35" s="5" customFormat="1" ht="14" customHeight="1">
      <c r="A54" s="985" t="s">
        <v>1400</v>
      </c>
      <c r="B54" s="1083"/>
      <c r="C54" s="1309"/>
      <c r="D54" s="1306"/>
      <c r="E54" s="1310"/>
      <c r="F54" s="1309"/>
      <c r="G54" s="1304"/>
      <c r="H54" s="1304"/>
      <c r="I54" s="1304"/>
      <c r="J54" s="1304"/>
      <c r="K54" s="1304"/>
      <c r="L54" s="1304"/>
      <c r="M54" s="1304"/>
      <c r="N54" s="1304"/>
      <c r="O54" s="1304"/>
      <c r="P54" s="1304"/>
      <c r="Q54" s="1304"/>
      <c r="R54" s="1316"/>
      <c r="S54" s="1318">
        <f t="shared" si="2"/>
        <v>0</v>
      </c>
      <c r="T54" s="1319" cm="1">
        <f t="array" ref="T54">SUM(F54:R54)*SUM(C54:E54)-SUM(C54:E54*L54)</f>
        <v>0</v>
      </c>
      <c r="U54" s="989"/>
      <c r="V54" s="984"/>
      <c r="W54" s="984"/>
      <c r="X54" s="984"/>
      <c r="Y54" s="984"/>
      <c r="Z54" s="984"/>
      <c r="AA54" s="984"/>
      <c r="AB54" s="984"/>
      <c r="AC54" s="984"/>
      <c r="AD54" s="984"/>
      <c r="AE54" s="984"/>
      <c r="AF54" s="984"/>
      <c r="AG54" s="984"/>
      <c r="AH54" s="984"/>
      <c r="AI54" s="984"/>
    </row>
    <row r="55" spans="1:35" s="5" customFormat="1" ht="14" customHeight="1" thickBot="1">
      <c r="A55" s="985" t="s">
        <v>1401</v>
      </c>
      <c r="B55" s="1084"/>
      <c r="C55" s="1322"/>
      <c r="D55" s="1312"/>
      <c r="E55" s="1313"/>
      <c r="F55" s="1317"/>
      <c r="G55" s="1305"/>
      <c r="H55" s="1305"/>
      <c r="I55" s="1305"/>
      <c r="J55" s="1305"/>
      <c r="K55" s="1305"/>
      <c r="L55" s="1305"/>
      <c r="M55" s="1305"/>
      <c r="N55" s="1305"/>
      <c r="O55" s="1305"/>
      <c r="P55" s="1305"/>
      <c r="Q55" s="1305"/>
      <c r="R55" s="1313"/>
      <c r="S55" s="1326">
        <f t="shared" si="2"/>
        <v>0</v>
      </c>
      <c r="T55" s="1327" cm="1">
        <f t="array" ref="T55">SUM(F55:R55)*SUM(C55:E55)-SUM(C55:E55*L55)</f>
        <v>0</v>
      </c>
      <c r="U55" s="1392"/>
      <c r="V55" s="984"/>
      <c r="W55" s="984"/>
      <c r="X55" s="984"/>
      <c r="Y55" s="984"/>
      <c r="Z55" s="984"/>
      <c r="AA55" s="984"/>
      <c r="AB55" s="984"/>
      <c r="AC55" s="984"/>
      <c r="AD55" s="984"/>
      <c r="AE55" s="984"/>
      <c r="AF55" s="984"/>
      <c r="AG55" s="984"/>
      <c r="AH55" s="984"/>
      <c r="AI55" s="984"/>
    </row>
    <row r="56" spans="1:35" s="5" customFormat="1" ht="16.5" customHeight="1" thickBot="1">
      <c r="A56" s="986"/>
      <c r="B56" s="1276" t="str">
        <f>"Indtægter i alt til hovedskema. Lin. 19 og 26"</f>
        <v>Indtægter i alt til hovedskema. Lin. 19 og 26</v>
      </c>
      <c r="C56" s="1276"/>
      <c r="D56" s="1276"/>
      <c r="E56" s="1276"/>
      <c r="F56" s="1276"/>
      <c r="G56" s="1276"/>
      <c r="H56" s="1276"/>
      <c r="I56" s="1276"/>
      <c r="J56" s="1276"/>
      <c r="K56" s="1276"/>
      <c r="L56" s="1276"/>
      <c r="M56" s="1276"/>
      <c r="N56" s="1276"/>
      <c r="O56" s="1276"/>
      <c r="P56" s="1276"/>
      <c r="Q56" s="1276"/>
      <c r="R56" s="987"/>
      <c r="S56" s="1324">
        <f>SUM(S46:S55)</f>
        <v>0</v>
      </c>
      <c r="T56" s="1324">
        <f>SUM(T46:T55)</f>
        <v>0</v>
      </c>
      <c r="U56" s="984"/>
      <c r="V56" s="984"/>
      <c r="W56" s="984"/>
      <c r="X56" s="984"/>
      <c r="Y56" s="984"/>
      <c r="Z56" s="984"/>
      <c r="AA56" s="984"/>
      <c r="AB56" s="984"/>
      <c r="AC56" s="984"/>
      <c r="AD56" s="984"/>
      <c r="AE56" s="984"/>
      <c r="AF56" s="984"/>
      <c r="AG56" s="984"/>
      <c r="AH56" s="984"/>
    </row>
    <row r="57" spans="1:35" s="5" customFormat="1" ht="24" customHeight="1">
      <c r="A57" s="3078" t="s">
        <v>1268</v>
      </c>
      <c r="B57" s="3079"/>
      <c r="C57" s="3079"/>
      <c r="D57" s="3079"/>
      <c r="E57" s="3079"/>
      <c r="F57" s="3079"/>
      <c r="G57" s="3079"/>
      <c r="H57" s="3079"/>
      <c r="I57" s="3079"/>
      <c r="J57" s="3079"/>
      <c r="K57" s="3079"/>
      <c r="L57" s="3079"/>
      <c r="M57" s="3079"/>
      <c r="N57" s="3079"/>
      <c r="O57" s="3079"/>
      <c r="P57" s="3079"/>
      <c r="Q57" s="3079"/>
      <c r="R57" s="3079"/>
      <c r="S57" s="3079"/>
      <c r="T57" s="3080"/>
      <c r="U57" s="984"/>
      <c r="V57" s="984"/>
      <c r="W57" s="984"/>
      <c r="X57" s="984"/>
      <c r="Y57" s="984"/>
      <c r="Z57" s="984"/>
      <c r="AA57" s="984"/>
      <c r="AB57" s="984"/>
      <c r="AC57" s="984"/>
      <c r="AD57" s="984"/>
      <c r="AE57" s="984"/>
      <c r="AF57" s="984"/>
      <c r="AG57" s="984"/>
      <c r="AH57" s="984"/>
    </row>
    <row r="58" spans="1:35" s="5" customFormat="1" ht="17" customHeight="1" thickBot="1">
      <c r="A58" s="3081" t="str">
        <f>"(ønskes flere rækker, kan disse indsættes imellem linie "&amp;U59&amp;" - "&amp;U63&amp;""</f>
        <v>(ønskes flere rækker, kan disse indsættes imellem linie 59 - 63</v>
      </c>
      <c r="B58" s="3082"/>
      <c r="C58" s="3082"/>
      <c r="D58" s="3082"/>
      <c r="E58" s="3082"/>
      <c r="F58" s="3082"/>
      <c r="G58" s="3082"/>
      <c r="H58" s="3082"/>
      <c r="I58" s="3082"/>
      <c r="J58" s="3082"/>
      <c r="K58" s="3082"/>
      <c r="L58" s="3082"/>
      <c r="M58" s="3082"/>
      <c r="N58" s="3082"/>
      <c r="O58" s="3082"/>
      <c r="P58" s="3082"/>
      <c r="Q58" s="3082"/>
      <c r="R58" s="3082"/>
      <c r="S58" s="3082"/>
      <c r="T58" s="3083"/>
      <c r="U58" s="984"/>
      <c r="V58" s="984"/>
      <c r="W58" s="984"/>
      <c r="X58" s="984"/>
      <c r="Y58" s="984"/>
      <c r="Z58" s="984"/>
      <c r="AA58" s="984"/>
      <c r="AB58" s="984"/>
      <c r="AC58" s="984"/>
      <c r="AD58" s="984"/>
      <c r="AE58" s="984"/>
      <c r="AF58" s="984"/>
      <c r="AG58" s="984"/>
      <c r="AH58" s="984"/>
    </row>
    <row r="59" spans="1:35" s="5" customFormat="1" ht="14" customHeight="1">
      <c r="A59" s="1302" t="s">
        <v>103</v>
      </c>
      <c r="B59" s="1303"/>
      <c r="C59" s="1303"/>
      <c r="D59" s="1303"/>
      <c r="E59" s="1303"/>
      <c r="F59" s="1303"/>
      <c r="G59" s="1303"/>
      <c r="H59" s="1303"/>
      <c r="I59" s="1303"/>
      <c r="J59" s="1303"/>
      <c r="K59" s="1303"/>
      <c r="L59" s="1303"/>
      <c r="M59" s="1303"/>
      <c r="N59" s="1303"/>
      <c r="O59" s="1303"/>
      <c r="P59" s="1303"/>
      <c r="Q59" s="1303"/>
      <c r="R59" s="1303"/>
      <c r="S59" s="3084"/>
      <c r="T59" s="3085"/>
      <c r="U59" s="989">
        <f>ROW(T59)</f>
        <v>59</v>
      </c>
      <c r="V59" s="984"/>
      <c r="W59" s="984"/>
      <c r="X59" s="984"/>
      <c r="Y59" s="984"/>
      <c r="Z59" s="984"/>
      <c r="AA59" s="984"/>
      <c r="AB59" s="984"/>
      <c r="AC59" s="984"/>
      <c r="AD59" s="984"/>
      <c r="AE59" s="984"/>
      <c r="AF59" s="984"/>
      <c r="AG59" s="984"/>
      <c r="AH59" s="984"/>
    </row>
    <row r="60" spans="1:35" s="5" customFormat="1" ht="14" customHeight="1">
      <c r="A60" s="3073" t="s">
        <v>166</v>
      </c>
      <c r="B60" s="3074"/>
      <c r="C60" s="3074"/>
      <c r="D60" s="3074"/>
      <c r="E60" s="3074"/>
      <c r="F60" s="3074"/>
      <c r="G60" s="3074"/>
      <c r="H60" s="3074"/>
      <c r="I60" s="3074"/>
      <c r="J60" s="3074"/>
      <c r="K60" s="3074"/>
      <c r="L60" s="3074"/>
      <c r="M60" s="3074"/>
      <c r="N60" s="3074"/>
      <c r="O60" s="3074"/>
      <c r="P60" s="3074"/>
      <c r="Q60" s="3074"/>
      <c r="R60" s="3075"/>
      <c r="S60" s="3191"/>
      <c r="T60" s="3192"/>
      <c r="U60" s="989"/>
      <c r="V60" s="984"/>
      <c r="W60" s="984"/>
      <c r="X60" s="984"/>
      <c r="Y60" s="984"/>
      <c r="Z60" s="984"/>
      <c r="AA60" s="984"/>
      <c r="AB60" s="984"/>
      <c r="AC60" s="984"/>
      <c r="AD60" s="984"/>
      <c r="AE60" s="984"/>
      <c r="AF60" s="984"/>
      <c r="AG60" s="984"/>
      <c r="AH60" s="984"/>
    </row>
    <row r="61" spans="1:35" s="5" customFormat="1" ht="14" customHeight="1">
      <c r="A61" s="3073"/>
      <c r="B61" s="3074"/>
      <c r="C61" s="3074"/>
      <c r="D61" s="3074"/>
      <c r="E61" s="3074"/>
      <c r="F61" s="3074"/>
      <c r="G61" s="3074"/>
      <c r="H61" s="3074"/>
      <c r="I61" s="3074"/>
      <c r="J61" s="3074"/>
      <c r="K61" s="3074"/>
      <c r="L61" s="3074"/>
      <c r="M61" s="3074"/>
      <c r="N61" s="3074"/>
      <c r="O61" s="3074"/>
      <c r="P61" s="3074"/>
      <c r="Q61" s="3074"/>
      <c r="R61" s="3075"/>
      <c r="S61" s="3191"/>
      <c r="T61" s="3192"/>
      <c r="U61" s="989"/>
      <c r="V61" s="984"/>
      <c r="W61" s="984"/>
      <c r="X61" s="984"/>
      <c r="Y61" s="984"/>
      <c r="Z61" s="984"/>
      <c r="AA61" s="984"/>
      <c r="AB61" s="984"/>
      <c r="AC61" s="984"/>
      <c r="AD61" s="984"/>
      <c r="AE61" s="984"/>
      <c r="AF61" s="984"/>
      <c r="AG61" s="984"/>
      <c r="AH61" s="984"/>
    </row>
    <row r="62" spans="1:35" s="5" customFormat="1" ht="14" customHeight="1">
      <c r="A62" s="3073"/>
      <c r="B62" s="3074"/>
      <c r="C62" s="3074"/>
      <c r="D62" s="3074"/>
      <c r="E62" s="3074"/>
      <c r="F62" s="3074"/>
      <c r="G62" s="3074"/>
      <c r="H62" s="3074"/>
      <c r="I62" s="3074"/>
      <c r="J62" s="3074"/>
      <c r="K62" s="3074"/>
      <c r="L62" s="3074"/>
      <c r="M62" s="3074"/>
      <c r="N62" s="3074"/>
      <c r="O62" s="3074"/>
      <c r="P62" s="3074"/>
      <c r="Q62" s="3074"/>
      <c r="R62" s="3075"/>
      <c r="S62" s="3191"/>
      <c r="T62" s="3192"/>
      <c r="U62" s="989"/>
      <c r="V62" s="984"/>
      <c r="W62" s="984"/>
      <c r="X62" s="984"/>
      <c r="Y62" s="984"/>
      <c r="Z62" s="984"/>
      <c r="AA62" s="984"/>
      <c r="AB62" s="984"/>
      <c r="AC62" s="984"/>
      <c r="AD62" s="984"/>
      <c r="AE62" s="984"/>
      <c r="AF62" s="984"/>
      <c r="AG62" s="984"/>
      <c r="AH62" s="984"/>
    </row>
    <row r="63" spans="1:35" s="5" customFormat="1" ht="14" customHeight="1" thickBot="1">
      <c r="A63" s="3073"/>
      <c r="B63" s="3074"/>
      <c r="C63" s="3074"/>
      <c r="D63" s="3074"/>
      <c r="E63" s="3074"/>
      <c r="F63" s="3074"/>
      <c r="G63" s="3074"/>
      <c r="H63" s="3074"/>
      <c r="I63" s="3074"/>
      <c r="J63" s="3074"/>
      <c r="K63" s="3074"/>
      <c r="L63" s="3074"/>
      <c r="M63" s="3074"/>
      <c r="N63" s="3074"/>
      <c r="O63" s="3074"/>
      <c r="P63" s="3074"/>
      <c r="Q63" s="3074"/>
      <c r="R63" s="3075"/>
      <c r="S63" s="3191"/>
      <c r="T63" s="3192"/>
      <c r="U63" s="989">
        <f>ROW(T63)</f>
        <v>63</v>
      </c>
      <c r="V63" s="984"/>
      <c r="W63" s="984"/>
      <c r="X63" s="984"/>
      <c r="Y63" s="984"/>
      <c r="Z63" s="984"/>
      <c r="AA63" s="984"/>
      <c r="AB63" s="984"/>
      <c r="AC63" s="984"/>
      <c r="AD63" s="984"/>
      <c r="AE63" s="984"/>
      <c r="AF63" s="984"/>
      <c r="AG63" s="984"/>
      <c r="AH63" s="984"/>
    </row>
    <row r="64" spans="1:35" s="5" customFormat="1" ht="14" customHeight="1" thickBot="1">
      <c r="A64" s="3159" t="s">
        <v>1303</v>
      </c>
      <c r="B64" s="3160"/>
      <c r="C64" s="3160"/>
      <c r="D64" s="3160"/>
      <c r="E64" s="3160"/>
      <c r="F64" s="3160"/>
      <c r="G64" s="3160"/>
      <c r="H64" s="3160"/>
      <c r="I64" s="3160"/>
      <c r="J64" s="3160"/>
      <c r="K64" s="3160"/>
      <c r="L64" s="3160"/>
      <c r="M64" s="3160"/>
      <c r="N64" s="3160"/>
      <c r="O64" s="3160"/>
      <c r="P64" s="3160"/>
      <c r="Q64" s="3160"/>
      <c r="R64" s="3160"/>
      <c r="S64" s="3193">
        <f>SUM(S59:S63)</f>
        <v>0</v>
      </c>
      <c r="T64" s="3194"/>
      <c r="U64" s="984"/>
      <c r="V64" s="984"/>
      <c r="W64" s="984"/>
      <c r="X64" s="984"/>
      <c r="Y64" s="984"/>
      <c r="Z64" s="984"/>
      <c r="AA64" s="984"/>
      <c r="AB64" s="984"/>
      <c r="AC64" s="984"/>
      <c r="AD64" s="984"/>
      <c r="AE64" s="984"/>
      <c r="AF64" s="984"/>
      <c r="AG64" s="984"/>
      <c r="AH64" s="984"/>
    </row>
    <row r="65" spans="1:35" s="5" customFormat="1" ht="24" customHeight="1">
      <c r="A65" s="3078" t="s">
        <v>1498</v>
      </c>
      <c r="B65" s="3079"/>
      <c r="C65" s="3079"/>
      <c r="D65" s="3079"/>
      <c r="E65" s="3079"/>
      <c r="F65" s="3079"/>
      <c r="G65" s="3079"/>
      <c r="H65" s="3079"/>
      <c r="I65" s="3079"/>
      <c r="J65" s="3079"/>
      <c r="K65" s="3079"/>
      <c r="L65" s="3079"/>
      <c r="M65" s="3079"/>
      <c r="N65" s="3079"/>
      <c r="O65" s="3079"/>
      <c r="P65" s="3079"/>
      <c r="Q65" s="3079"/>
      <c r="R65" s="3079"/>
      <c r="S65" s="3079"/>
      <c r="T65" s="3080"/>
      <c r="U65" s="984"/>
      <c r="V65" s="984"/>
      <c r="W65" s="984"/>
      <c r="X65" s="984"/>
      <c r="Y65" s="984"/>
      <c r="Z65" s="984"/>
      <c r="AA65" s="984"/>
      <c r="AB65" s="984"/>
      <c r="AC65" s="984"/>
      <c r="AD65" s="984"/>
      <c r="AE65" s="984"/>
      <c r="AF65" s="984"/>
      <c r="AG65" s="984"/>
      <c r="AH65" s="984"/>
    </row>
    <row r="66" spans="1:35" s="5" customFormat="1" ht="17" customHeight="1" thickBot="1">
      <c r="A66" s="3081" t="str">
        <f>"(ønskes flere rækker, kan disse indsættes imellem linie "&amp;U67&amp;" - "&amp;U71&amp;""</f>
        <v>(ønskes flere rækker, kan disse indsættes imellem linie 67 - 71</v>
      </c>
      <c r="B66" s="3082"/>
      <c r="C66" s="3082"/>
      <c r="D66" s="3082"/>
      <c r="E66" s="3082"/>
      <c r="F66" s="3082"/>
      <c r="G66" s="3082"/>
      <c r="H66" s="3082"/>
      <c r="I66" s="3082"/>
      <c r="J66" s="3082"/>
      <c r="K66" s="3082"/>
      <c r="L66" s="3082"/>
      <c r="M66" s="3082"/>
      <c r="N66" s="3082"/>
      <c r="O66" s="3082"/>
      <c r="P66" s="3082"/>
      <c r="Q66" s="3082"/>
      <c r="R66" s="3082"/>
      <c r="S66" s="3082"/>
      <c r="T66" s="3083"/>
      <c r="U66" s="984"/>
      <c r="V66" s="984"/>
      <c r="W66" s="984"/>
      <c r="X66" s="984"/>
      <c r="Y66" s="984"/>
      <c r="Z66" s="984"/>
      <c r="AA66" s="984"/>
      <c r="AB66" s="984"/>
      <c r="AC66" s="984"/>
      <c r="AD66" s="984"/>
      <c r="AE66" s="984"/>
      <c r="AF66" s="984"/>
      <c r="AG66" s="984"/>
      <c r="AH66" s="984"/>
    </row>
    <row r="67" spans="1:35" s="5" customFormat="1" ht="14" customHeight="1">
      <c r="A67" s="3071" t="s">
        <v>1055</v>
      </c>
      <c r="B67" s="3072"/>
      <c r="C67" s="3072"/>
      <c r="D67" s="3072"/>
      <c r="E67" s="3072"/>
      <c r="F67" s="3072"/>
      <c r="G67" s="3072"/>
      <c r="H67" s="3072"/>
      <c r="I67" s="3072"/>
      <c r="J67" s="3072"/>
      <c r="K67" s="3072"/>
      <c r="L67" s="3072"/>
      <c r="M67" s="3072"/>
      <c r="N67" s="3072"/>
      <c r="O67" s="3072"/>
      <c r="P67" s="3072"/>
      <c r="Q67" s="3072"/>
      <c r="R67" s="3072"/>
      <c r="S67" s="3084"/>
      <c r="T67" s="3085"/>
      <c r="U67" s="989">
        <f>ROW(T67)</f>
        <v>67</v>
      </c>
      <c r="V67" s="984"/>
      <c r="W67" s="984"/>
      <c r="X67" s="984"/>
      <c r="Y67" s="984"/>
      <c r="Z67" s="984"/>
      <c r="AA67" s="984"/>
      <c r="AB67" s="984"/>
      <c r="AC67" s="984"/>
      <c r="AD67" s="984"/>
      <c r="AE67" s="984"/>
      <c r="AF67" s="984"/>
      <c r="AG67" s="984"/>
      <c r="AH67" s="984"/>
    </row>
    <row r="68" spans="1:35" s="5" customFormat="1" ht="14" customHeight="1">
      <c r="A68" s="3073"/>
      <c r="B68" s="3074"/>
      <c r="C68" s="3074"/>
      <c r="D68" s="3074"/>
      <c r="E68" s="3074"/>
      <c r="F68" s="3074"/>
      <c r="G68" s="3074"/>
      <c r="H68" s="3074"/>
      <c r="I68" s="3074"/>
      <c r="J68" s="3074"/>
      <c r="K68" s="3074"/>
      <c r="L68" s="3074"/>
      <c r="M68" s="3074"/>
      <c r="N68" s="3074"/>
      <c r="O68" s="3074"/>
      <c r="P68" s="3074"/>
      <c r="Q68" s="3074"/>
      <c r="R68" s="3075"/>
      <c r="S68" s="3191"/>
      <c r="T68" s="3192"/>
      <c r="U68" s="989"/>
      <c r="V68" s="984"/>
      <c r="W68" s="984"/>
      <c r="X68" s="984"/>
      <c r="Y68" s="984"/>
      <c r="Z68" s="984"/>
      <c r="AA68" s="984"/>
      <c r="AB68" s="984"/>
      <c r="AC68" s="984"/>
      <c r="AD68" s="984"/>
      <c r="AE68" s="984"/>
      <c r="AF68" s="984"/>
      <c r="AG68" s="984"/>
      <c r="AH68" s="984"/>
    </row>
    <row r="69" spans="1:35" s="5" customFormat="1" ht="14" customHeight="1">
      <c r="A69" s="3073"/>
      <c r="B69" s="3074"/>
      <c r="C69" s="3074"/>
      <c r="D69" s="3074"/>
      <c r="E69" s="3074"/>
      <c r="F69" s="3074"/>
      <c r="G69" s="3074"/>
      <c r="H69" s="3074"/>
      <c r="I69" s="3074"/>
      <c r="J69" s="3074"/>
      <c r="K69" s="3074"/>
      <c r="L69" s="3074"/>
      <c r="M69" s="3074"/>
      <c r="N69" s="3074"/>
      <c r="O69" s="3074"/>
      <c r="P69" s="3074"/>
      <c r="Q69" s="3074"/>
      <c r="R69" s="3075"/>
      <c r="S69" s="3191"/>
      <c r="T69" s="3192"/>
      <c r="U69" s="989"/>
      <c r="V69" s="984"/>
      <c r="W69" s="984"/>
      <c r="X69" s="984"/>
      <c r="Y69" s="984"/>
      <c r="Z69" s="984"/>
      <c r="AA69" s="984"/>
      <c r="AB69" s="984"/>
      <c r="AC69" s="984"/>
      <c r="AD69" s="984"/>
      <c r="AE69" s="984"/>
      <c r="AF69" s="984"/>
      <c r="AG69" s="984"/>
      <c r="AH69" s="984"/>
    </row>
    <row r="70" spans="1:35" s="5" customFormat="1" ht="14" customHeight="1">
      <c r="A70" s="3073"/>
      <c r="B70" s="3074"/>
      <c r="C70" s="3074"/>
      <c r="D70" s="3074"/>
      <c r="E70" s="3074"/>
      <c r="F70" s="3074"/>
      <c r="G70" s="3074"/>
      <c r="H70" s="3074"/>
      <c r="I70" s="3074"/>
      <c r="J70" s="3074"/>
      <c r="K70" s="3074"/>
      <c r="L70" s="3074"/>
      <c r="M70" s="3074"/>
      <c r="N70" s="3074"/>
      <c r="O70" s="3074"/>
      <c r="P70" s="3074"/>
      <c r="Q70" s="3074"/>
      <c r="R70" s="3075"/>
      <c r="S70" s="3191"/>
      <c r="T70" s="3192"/>
      <c r="U70" s="989"/>
      <c r="V70" s="984"/>
      <c r="W70" s="984"/>
      <c r="X70" s="984"/>
      <c r="Y70" s="984"/>
      <c r="Z70" s="984"/>
      <c r="AA70" s="984"/>
      <c r="AB70" s="984"/>
      <c r="AC70" s="984"/>
      <c r="AD70" s="984"/>
      <c r="AE70" s="984"/>
      <c r="AF70" s="984"/>
      <c r="AG70" s="984"/>
      <c r="AH70" s="984"/>
    </row>
    <row r="71" spans="1:35" s="5" customFormat="1" ht="14" customHeight="1" thickBot="1">
      <c r="A71" s="3073"/>
      <c r="B71" s="3074"/>
      <c r="C71" s="3074"/>
      <c r="D71" s="3074"/>
      <c r="E71" s="3074"/>
      <c r="F71" s="3074"/>
      <c r="G71" s="3074"/>
      <c r="H71" s="3074"/>
      <c r="I71" s="3074"/>
      <c r="J71" s="3074"/>
      <c r="K71" s="3074"/>
      <c r="L71" s="3074"/>
      <c r="M71" s="3074"/>
      <c r="N71" s="3074"/>
      <c r="O71" s="3074"/>
      <c r="P71" s="3074"/>
      <c r="Q71" s="3074"/>
      <c r="R71" s="3075"/>
      <c r="S71" s="3088"/>
      <c r="T71" s="3203"/>
      <c r="U71" s="989">
        <f>ROW(T71)</f>
        <v>71</v>
      </c>
      <c r="V71" s="984"/>
      <c r="W71" s="984"/>
      <c r="X71" s="984"/>
      <c r="Y71" s="984"/>
      <c r="Z71" s="984"/>
      <c r="AA71" s="984"/>
      <c r="AB71" s="984"/>
      <c r="AC71" s="984"/>
      <c r="AD71" s="984"/>
      <c r="AE71" s="984"/>
      <c r="AF71" s="984"/>
      <c r="AG71" s="984"/>
      <c r="AH71" s="984"/>
    </row>
    <row r="72" spans="1:35" s="5" customFormat="1" ht="14" customHeight="1" thickBot="1">
      <c r="A72" s="3159" t="s">
        <v>1304</v>
      </c>
      <c r="B72" s="3160"/>
      <c r="C72" s="3160"/>
      <c r="D72" s="3160"/>
      <c r="E72" s="3160"/>
      <c r="F72" s="3160"/>
      <c r="G72" s="3160"/>
      <c r="H72" s="3160"/>
      <c r="I72" s="3160"/>
      <c r="J72" s="3160"/>
      <c r="K72" s="3160"/>
      <c r="L72" s="3160"/>
      <c r="M72" s="3160"/>
      <c r="N72" s="3160"/>
      <c r="O72" s="3160"/>
      <c r="P72" s="3160"/>
      <c r="Q72" s="3160"/>
      <c r="R72" s="3161"/>
      <c r="S72" s="3204">
        <f>SUM(S67:S71)</f>
        <v>0</v>
      </c>
      <c r="T72" s="3205"/>
      <c r="U72" s="984"/>
      <c r="V72" s="984"/>
      <c r="W72" s="984"/>
      <c r="X72" s="984"/>
      <c r="Y72" s="984"/>
      <c r="Z72" s="984"/>
      <c r="AA72" s="984"/>
      <c r="AB72" s="984"/>
      <c r="AC72" s="984"/>
      <c r="AD72" s="984"/>
      <c r="AE72" s="984"/>
      <c r="AF72" s="984"/>
      <c r="AG72" s="984"/>
      <c r="AH72" s="984"/>
    </row>
    <row r="73" spans="1:35" ht="16">
      <c r="A73" s="997"/>
      <c r="B73" s="998"/>
      <c r="C73" s="998"/>
      <c r="D73" s="999"/>
      <c r="E73" s="998"/>
      <c r="F73" s="998"/>
      <c r="G73" s="998"/>
      <c r="H73" s="998"/>
      <c r="I73" s="998"/>
      <c r="J73" s="998"/>
      <c r="K73" s="998"/>
      <c r="L73" s="998"/>
      <c r="M73" s="998"/>
      <c r="N73" s="998"/>
      <c r="O73" s="998"/>
      <c r="P73" s="998"/>
      <c r="Q73" s="998"/>
      <c r="R73" s="1000"/>
      <c r="S73" s="1000"/>
      <c r="T73" s="1000"/>
      <c r="U73" s="996"/>
      <c r="V73" s="939"/>
      <c r="W73" s="939"/>
      <c r="X73" s="939"/>
      <c r="Y73" s="939"/>
      <c r="Z73" s="939"/>
      <c r="AA73" s="939"/>
      <c r="AB73" s="939"/>
      <c r="AC73" s="939"/>
      <c r="AD73" s="939"/>
      <c r="AE73" s="939"/>
      <c r="AF73" s="939"/>
      <c r="AG73" s="939"/>
      <c r="AH73" s="939"/>
      <c r="AI73" s="939"/>
    </row>
    <row r="74" spans="1:35" ht="17" thickBot="1">
      <c r="A74" s="1001"/>
      <c r="B74" s="994"/>
      <c r="C74" s="994"/>
      <c r="D74" s="995"/>
      <c r="E74" s="994"/>
      <c r="F74" s="994"/>
      <c r="G74" s="994"/>
      <c r="H74" s="994"/>
      <c r="I74" s="994"/>
      <c r="J74" s="994"/>
      <c r="K74" s="994"/>
      <c r="L74" s="994"/>
      <c r="M74" s="994"/>
      <c r="N74" s="994"/>
      <c r="O74" s="994"/>
      <c r="P74" s="994"/>
      <c r="Q74" s="994"/>
      <c r="R74" s="996"/>
      <c r="S74" s="996"/>
      <c r="T74" s="996"/>
      <c r="U74" s="996"/>
      <c r="V74" s="939"/>
      <c r="W74" s="939"/>
      <c r="X74" s="939"/>
      <c r="Y74" s="939"/>
      <c r="Z74" s="939"/>
      <c r="AA74" s="939"/>
      <c r="AB74" s="939"/>
      <c r="AC74" s="939"/>
      <c r="AD74" s="939"/>
      <c r="AE74" s="939"/>
      <c r="AF74" s="939"/>
      <c r="AG74" s="939"/>
      <c r="AH74" s="939"/>
      <c r="AI74" s="939"/>
    </row>
    <row r="75" spans="1:35" ht="17" thickBot="1">
      <c r="A75" s="3162" t="s">
        <v>969</v>
      </c>
      <c r="B75" s="3163"/>
      <c r="C75" s="3163"/>
      <c r="D75" s="3163"/>
      <c r="E75" s="3163"/>
      <c r="F75" s="3163"/>
      <c r="G75" s="3163"/>
      <c r="H75" s="3164"/>
      <c r="I75" s="939"/>
      <c r="J75" s="970"/>
      <c r="K75" s="970"/>
      <c r="L75" s="970"/>
      <c r="M75" s="970"/>
      <c r="N75" s="939"/>
      <c r="O75" s="939"/>
      <c r="P75" s="939"/>
      <c r="Q75" s="939"/>
      <c r="R75" s="939"/>
      <c r="S75" s="939"/>
      <c r="T75" s="939"/>
      <c r="U75" s="939"/>
      <c r="V75" s="939"/>
      <c r="W75" s="939"/>
      <c r="X75" s="939"/>
      <c r="Y75" s="939"/>
      <c r="Z75" s="939"/>
    </row>
    <row r="76" spans="1:35" ht="16">
      <c r="A76" s="1002" t="s">
        <v>1135</v>
      </c>
      <c r="B76" s="3169" t="s">
        <v>357</v>
      </c>
      <c r="C76" s="3169"/>
      <c r="D76" s="3170"/>
      <c r="E76" s="1283">
        <f>budgetår</f>
        <v>2024</v>
      </c>
      <c r="F76" s="3165">
        <f>budgetår+1</f>
        <v>2025</v>
      </c>
      <c r="G76" s="3165"/>
      <c r="H76" s="3166"/>
      <c r="I76" s="939"/>
      <c r="J76" s="970"/>
      <c r="K76" s="970"/>
      <c r="L76" s="970"/>
      <c r="M76" s="970"/>
      <c r="N76" s="939"/>
      <c r="O76" s="939"/>
      <c r="P76" s="939"/>
      <c r="Q76" s="939"/>
      <c r="R76" s="939"/>
      <c r="S76" s="939"/>
      <c r="T76" s="939"/>
      <c r="U76" s="939"/>
      <c r="V76" s="939"/>
      <c r="W76" s="939"/>
      <c r="X76" s="939"/>
      <c r="Y76" s="939"/>
      <c r="Z76" s="939"/>
    </row>
    <row r="77" spans="1:35" ht="16">
      <c r="A77" s="1096"/>
      <c r="B77" s="3206" t="s">
        <v>811</v>
      </c>
      <c r="C77" s="3206"/>
      <c r="D77" s="3207"/>
      <c r="E77" s="1284">
        <f>'Lon pæd., TAP mm'!AI56+'Lon pæd., TAP mm'!AI85+SUM('Lon pæd., TAP mm'!AH82:AI82)</f>
        <v>0</v>
      </c>
      <c r="F77" s="3201">
        <f>'Lon pæd., TAP mm'!AI57+'Lon pæd., TAP mm'!AI86+SUM('Lon pæd., TAP mm'!AH84:AI84)</f>
        <v>0</v>
      </c>
      <c r="G77" s="3201"/>
      <c r="H77" s="3202"/>
      <c r="I77" s="939"/>
      <c r="J77" s="939"/>
      <c r="K77" s="1003"/>
      <c r="L77" s="1003"/>
      <c r="M77" s="970"/>
      <c r="N77" s="939"/>
      <c r="O77" s="939"/>
      <c r="P77" s="939"/>
      <c r="Q77" s="939"/>
      <c r="R77" s="939"/>
      <c r="S77" s="939"/>
      <c r="T77" s="939"/>
      <c r="U77" s="939"/>
      <c r="V77" s="939"/>
      <c r="W77" s="939"/>
      <c r="X77" s="939"/>
      <c r="Y77" s="939"/>
      <c r="Z77" s="939"/>
    </row>
    <row r="78" spans="1:35" ht="16">
      <c r="A78" s="2229"/>
      <c r="B78" s="2230" t="s">
        <v>232</v>
      </c>
      <c r="C78" s="2230"/>
      <c r="D78" s="2231"/>
      <c r="E78" s="2232">
        <f>Administration!E66</f>
        <v>0</v>
      </c>
      <c r="F78" s="3225">
        <f>'Lon pæd., TAP mm'!AI94</f>
        <v>0</v>
      </c>
      <c r="G78" s="3226"/>
      <c r="H78" s="3227"/>
      <c r="I78" s="939"/>
      <c r="J78" s="939"/>
      <c r="K78" s="1003"/>
      <c r="L78" s="1003"/>
      <c r="M78" s="970"/>
      <c r="N78" s="939"/>
      <c r="O78" s="939"/>
      <c r="P78" s="939"/>
      <c r="Q78" s="939"/>
      <c r="R78" s="939"/>
      <c r="S78" s="939"/>
      <c r="T78" s="939"/>
      <c r="U78" s="939"/>
      <c r="V78" s="939"/>
      <c r="W78" s="939"/>
      <c r="X78" s="939"/>
      <c r="Y78" s="939"/>
      <c r="Z78" s="939"/>
    </row>
    <row r="79" spans="1:35" ht="16">
      <c r="A79" s="1096"/>
      <c r="B79" s="3167" t="s">
        <v>812</v>
      </c>
      <c r="C79" s="3167"/>
      <c r="D79" s="3168"/>
      <c r="E79" s="1284">
        <f>'Lon pæd., TAP mm'!AI71</f>
        <v>0</v>
      </c>
      <c r="F79" s="3201">
        <f>SUM('Lon pæd., TAP mm'!V70:AI70)</f>
        <v>0</v>
      </c>
      <c r="G79" s="3201"/>
      <c r="H79" s="3202"/>
      <c r="I79" s="939"/>
      <c r="J79" s="939"/>
      <c r="K79" s="1004"/>
      <c r="L79" s="1004"/>
      <c r="M79" s="970"/>
      <c r="N79" s="939"/>
      <c r="O79" s="939"/>
      <c r="P79" s="939"/>
      <c r="Q79" s="939"/>
      <c r="R79" s="939"/>
      <c r="S79" s="939"/>
      <c r="T79" s="939"/>
      <c r="U79" s="939"/>
      <c r="V79" s="939"/>
      <c r="W79" s="939"/>
      <c r="X79" s="939"/>
      <c r="Y79" s="939"/>
      <c r="Z79" s="939"/>
    </row>
    <row r="80" spans="1:35" ht="17" thickBot="1">
      <c r="A80" s="1005"/>
      <c r="B80" s="3157" t="s">
        <v>358</v>
      </c>
      <c r="C80" s="3157"/>
      <c r="D80" s="3158"/>
      <c r="E80" s="1006">
        <f>SUM(E77:E79)</f>
        <v>0</v>
      </c>
      <c r="F80" s="3133">
        <f>SUM(F77:F79)</f>
        <v>0</v>
      </c>
      <c r="G80" s="3133"/>
      <c r="H80" s="3133"/>
      <c r="I80" s="939"/>
      <c r="J80" s="970"/>
      <c r="K80" s="970"/>
      <c r="L80" s="970"/>
      <c r="M80" s="970"/>
      <c r="N80" s="939"/>
      <c r="O80" s="939"/>
      <c r="P80" s="939"/>
      <c r="Q80" s="939"/>
      <c r="R80" s="939"/>
      <c r="S80" s="939"/>
      <c r="T80" s="939"/>
      <c r="U80" s="939"/>
      <c r="V80" s="939"/>
      <c r="W80" s="939"/>
      <c r="X80" s="939"/>
      <c r="Y80" s="939"/>
      <c r="Z80" s="939"/>
    </row>
    <row r="81" spans="1:26" ht="17" thickBot="1">
      <c r="A81" s="3110"/>
      <c r="B81" s="3096"/>
      <c r="C81" s="3096"/>
      <c r="D81" s="3096"/>
      <c r="E81" s="3096"/>
      <c r="F81" s="3096"/>
      <c r="G81" s="964"/>
      <c r="H81" s="964"/>
      <c r="I81" s="939"/>
      <c r="J81" s="939"/>
      <c r="K81" s="939"/>
      <c r="L81" s="939"/>
      <c r="M81" s="939"/>
      <c r="N81" s="939"/>
      <c r="O81" s="939"/>
      <c r="P81" s="939"/>
      <c r="Q81" s="939"/>
      <c r="R81" s="939"/>
      <c r="S81" s="939"/>
      <c r="T81" s="939"/>
      <c r="U81" s="939"/>
      <c r="V81" s="939"/>
      <c r="W81" s="939"/>
      <c r="X81" s="939"/>
      <c r="Y81" s="939"/>
      <c r="Z81" s="939"/>
    </row>
    <row r="82" spans="1:26" ht="30" customHeight="1">
      <c r="A82" s="3234" t="s">
        <v>285</v>
      </c>
      <c r="B82" s="3235"/>
      <c r="C82" s="3235"/>
      <c r="D82" s="3235"/>
      <c r="E82" s="3236"/>
      <c r="F82" s="3228" t="str">
        <f>"Ændringer i "&amp;$E$83+1&amp;" i forhold til "&amp;$E$83&amp;""</f>
        <v>Ændringer i 2025 i forhold til 2024</v>
      </c>
      <c r="G82" s="3229"/>
      <c r="H82" s="3230"/>
      <c r="I82" s="939"/>
      <c r="J82" s="939"/>
      <c r="K82" s="939"/>
      <c r="L82" s="939"/>
      <c r="M82" s="939"/>
      <c r="N82" s="939"/>
      <c r="O82" s="939"/>
      <c r="P82" s="939"/>
      <c r="Q82" s="939"/>
      <c r="R82" s="939"/>
      <c r="S82" s="939"/>
      <c r="T82" s="939"/>
      <c r="U82" s="939"/>
      <c r="V82" s="939"/>
      <c r="W82" s="939"/>
      <c r="X82" s="939"/>
    </row>
    <row r="83" spans="1:26" ht="14" customHeight="1">
      <c r="A83" s="1926" t="str">
        <f>A76</f>
        <v>Kto. nr.</v>
      </c>
      <c r="B83" s="3149" t="s">
        <v>963</v>
      </c>
      <c r="C83" s="3149"/>
      <c r="D83" s="3149"/>
      <c r="E83" s="2153">
        <f>budgetår</f>
        <v>2024</v>
      </c>
      <c r="F83" s="3231" t="s">
        <v>1360</v>
      </c>
      <c r="G83" s="3232"/>
      <c r="H83" s="3233"/>
      <c r="I83" s="939"/>
      <c r="J83" s="939"/>
      <c r="K83" s="939"/>
      <c r="L83" s="939"/>
      <c r="M83" s="939"/>
      <c r="N83" s="939"/>
      <c r="O83" s="939"/>
      <c r="P83" s="939"/>
      <c r="Q83" s="939"/>
      <c r="R83" s="939"/>
      <c r="S83" s="939"/>
      <c r="T83" s="939"/>
      <c r="U83" s="939"/>
      <c r="V83" s="939"/>
      <c r="W83" s="939"/>
      <c r="X83" s="939"/>
    </row>
    <row r="84" spans="1:26" ht="16">
      <c r="A84" s="1287"/>
      <c r="B84" s="3147" t="s">
        <v>958</v>
      </c>
      <c r="C84" s="3147"/>
      <c r="D84" s="3148"/>
      <c r="E84" s="1927"/>
      <c r="F84" s="3125"/>
      <c r="G84" s="3126"/>
      <c r="H84" s="3127"/>
      <c r="I84" s="939"/>
      <c r="J84" s="939"/>
      <c r="K84" s="939"/>
      <c r="L84" s="939"/>
      <c r="M84" s="939"/>
      <c r="N84" s="939"/>
      <c r="O84" s="939"/>
      <c r="P84" s="939"/>
      <c r="Q84" s="939"/>
      <c r="R84" s="939"/>
      <c r="S84" s="939"/>
      <c r="T84" s="939"/>
      <c r="U84" s="939"/>
      <c r="V84" s="939"/>
      <c r="W84" s="939"/>
      <c r="X84" s="939"/>
    </row>
    <row r="85" spans="1:26" ht="16">
      <c r="A85" s="1928"/>
      <c r="B85" s="3150" t="s">
        <v>1143</v>
      </c>
      <c r="C85" s="3150"/>
      <c r="D85" s="3151"/>
      <c r="E85" s="2154"/>
      <c r="F85" s="3125"/>
      <c r="G85" s="3126"/>
      <c r="H85" s="3127"/>
      <c r="I85" s="939"/>
      <c r="J85" s="939"/>
      <c r="K85" s="939"/>
      <c r="L85" s="939"/>
      <c r="M85" s="939"/>
      <c r="N85" s="939"/>
      <c r="O85" s="939"/>
      <c r="P85" s="939"/>
      <c r="Q85" s="939"/>
      <c r="R85" s="939"/>
      <c r="S85" s="939"/>
      <c r="T85" s="939"/>
      <c r="U85" s="939"/>
      <c r="V85" s="939"/>
      <c r="W85" s="939"/>
      <c r="X85" s="939"/>
    </row>
    <row r="86" spans="1:26" ht="16">
      <c r="A86" s="1928"/>
      <c r="B86" s="3150"/>
      <c r="C86" s="3150"/>
      <c r="D86" s="3151"/>
      <c r="E86" s="2154"/>
      <c r="F86" s="3125"/>
      <c r="G86" s="3126"/>
      <c r="H86" s="3127"/>
      <c r="I86" s="1004"/>
      <c r="J86" s="1004"/>
      <c r="K86" s="970"/>
      <c r="L86" s="939"/>
      <c r="M86" s="939"/>
      <c r="N86" s="939"/>
      <c r="O86" s="939"/>
      <c r="P86" s="939"/>
      <c r="Q86" s="939"/>
      <c r="R86" s="939"/>
      <c r="S86" s="939"/>
      <c r="T86" s="939"/>
      <c r="U86" s="939"/>
      <c r="V86" s="939"/>
      <c r="W86" s="939"/>
      <c r="X86" s="939"/>
    </row>
    <row r="87" spans="1:26" ht="16">
      <c r="A87" s="1928"/>
      <c r="B87" s="3150"/>
      <c r="C87" s="3150"/>
      <c r="D87" s="3151"/>
      <c r="E87" s="2155"/>
      <c r="F87" s="3125"/>
      <c r="G87" s="3126"/>
      <c r="H87" s="3127"/>
      <c r="I87" s="970"/>
      <c r="J87" s="970"/>
      <c r="K87" s="970"/>
      <c r="L87" s="939"/>
      <c r="M87" s="939"/>
      <c r="N87" s="939"/>
      <c r="O87" s="939"/>
      <c r="P87" s="939"/>
      <c r="Q87" s="939"/>
      <c r="R87" s="939"/>
      <c r="S87" s="939"/>
      <c r="T87" s="939"/>
      <c r="U87" s="939"/>
      <c r="V87" s="939"/>
      <c r="W87" s="939"/>
      <c r="X87" s="939"/>
    </row>
    <row r="88" spans="1:26" ht="16">
      <c r="A88" s="1928"/>
      <c r="B88" s="3150"/>
      <c r="C88" s="3150"/>
      <c r="D88" s="3151"/>
      <c r="E88" s="2156"/>
      <c r="F88" s="3125"/>
      <c r="G88" s="3126"/>
      <c r="H88" s="3127"/>
      <c r="I88" s="939"/>
      <c r="J88" s="939"/>
      <c r="K88" s="939"/>
      <c r="L88" s="939"/>
      <c r="M88" s="939"/>
      <c r="N88" s="939"/>
      <c r="O88" s="939"/>
      <c r="P88" s="939"/>
      <c r="Q88" s="939"/>
      <c r="R88" s="939"/>
      <c r="S88" s="939"/>
      <c r="T88" s="939"/>
      <c r="U88" s="939"/>
      <c r="V88" s="939"/>
      <c r="W88" s="939"/>
      <c r="X88" s="939"/>
    </row>
    <row r="89" spans="1:26" ht="16">
      <c r="A89" s="1928"/>
      <c r="B89" s="3150"/>
      <c r="C89" s="3150"/>
      <c r="D89" s="3151"/>
      <c r="E89" s="2157"/>
      <c r="F89" s="3125"/>
      <c r="G89" s="3126"/>
      <c r="H89" s="3127"/>
      <c r="I89" s="939"/>
      <c r="J89" s="939"/>
      <c r="K89" s="939"/>
      <c r="L89" s="939"/>
      <c r="M89" s="939"/>
      <c r="N89" s="939"/>
      <c r="O89" s="939"/>
      <c r="P89" s="939"/>
      <c r="Q89" s="939"/>
      <c r="R89" s="939"/>
      <c r="S89" s="939"/>
      <c r="T89" s="939"/>
      <c r="U89" s="939"/>
      <c r="V89" s="939"/>
      <c r="W89" s="939"/>
      <c r="X89" s="939"/>
    </row>
    <row r="90" spans="1:26" ht="17" thickBot="1">
      <c r="A90" s="1928"/>
      <c r="B90" s="3150"/>
      <c r="C90" s="3150"/>
      <c r="D90" s="3151"/>
      <c r="E90" s="1929"/>
      <c r="F90" s="3128"/>
      <c r="G90" s="3129"/>
      <c r="H90" s="3130"/>
      <c r="I90" s="939"/>
      <c r="J90" s="939"/>
      <c r="K90" s="939"/>
      <c r="L90" s="939"/>
      <c r="M90" s="939"/>
      <c r="N90" s="939"/>
      <c r="O90" s="939"/>
      <c r="P90" s="939"/>
      <c r="Q90" s="939"/>
      <c r="R90" s="939"/>
      <c r="S90" s="939"/>
      <c r="T90" s="939"/>
      <c r="U90" s="939"/>
      <c r="V90" s="939"/>
      <c r="W90" s="939"/>
      <c r="X90" s="939"/>
    </row>
    <row r="91" spans="1:26" ht="17" thickBot="1">
      <c r="A91" s="1930"/>
      <c r="B91" s="1923" t="s">
        <v>62</v>
      </c>
      <c r="C91" s="1923"/>
      <c r="D91" s="1931"/>
      <c r="E91" s="1932">
        <f>SUM(E84:E90)</f>
        <v>0</v>
      </c>
      <c r="F91" s="3134">
        <f t="shared" ref="F91" si="4">SUM(F84:F90)</f>
        <v>0</v>
      </c>
      <c r="G91" s="3134"/>
      <c r="H91" s="3134"/>
      <c r="I91" s="939"/>
      <c r="J91" s="939"/>
      <c r="K91" s="939"/>
      <c r="L91" s="939"/>
      <c r="M91" s="939"/>
      <c r="N91" s="939"/>
      <c r="O91" s="939"/>
      <c r="P91" s="939"/>
      <c r="Q91" s="939"/>
      <c r="R91" s="939"/>
      <c r="S91" s="939"/>
      <c r="T91" s="939"/>
      <c r="U91" s="939"/>
      <c r="V91" s="939"/>
      <c r="W91" s="939"/>
      <c r="X91" s="939"/>
    </row>
    <row r="92" spans="1:26" ht="13.5" customHeight="1" thickBot="1">
      <c r="A92" s="3095"/>
      <c r="B92" s="3096"/>
      <c r="C92" s="3096"/>
      <c r="D92" s="3096"/>
      <c r="E92" s="3096"/>
      <c r="F92" s="3096"/>
      <c r="G92" s="3096"/>
      <c r="H92" s="3096"/>
      <c r="I92" s="939"/>
      <c r="J92" s="939"/>
      <c r="K92" s="939"/>
      <c r="L92" s="939"/>
      <c r="M92" s="939"/>
      <c r="N92" s="939"/>
      <c r="O92" s="939"/>
      <c r="P92" s="939"/>
      <c r="Q92" s="939"/>
      <c r="R92" s="939"/>
      <c r="S92" s="939"/>
      <c r="T92" s="939"/>
      <c r="U92" s="939"/>
      <c r="V92" s="939"/>
      <c r="W92" s="939"/>
      <c r="X92" s="939"/>
    </row>
    <row r="93" spans="1:26" ht="16">
      <c r="A93" s="1933" t="str">
        <f>A83</f>
        <v>Kto. nr.</v>
      </c>
      <c r="B93" s="3219" t="s">
        <v>79</v>
      </c>
      <c r="C93" s="3219"/>
      <c r="D93" s="3220"/>
      <c r="E93" s="2158">
        <f>budgetår</f>
        <v>2024</v>
      </c>
      <c r="F93" s="3122" t="s">
        <v>1360</v>
      </c>
      <c r="G93" s="3123"/>
      <c r="H93" s="3124"/>
      <c r="I93" s="939"/>
      <c r="J93" s="939"/>
      <c r="K93" s="939"/>
      <c r="L93" s="939"/>
      <c r="M93" s="939"/>
      <c r="N93" s="939"/>
      <c r="O93" s="939"/>
      <c r="P93" s="939"/>
      <c r="Q93" s="939"/>
      <c r="R93" s="939"/>
      <c r="S93" s="939"/>
      <c r="T93" s="939"/>
      <c r="U93" s="939"/>
      <c r="V93" s="939"/>
      <c r="W93" s="939"/>
      <c r="X93" s="939"/>
    </row>
    <row r="94" spans="1:26" ht="16">
      <c r="A94" s="1290"/>
      <c r="B94" s="3154" t="s">
        <v>957</v>
      </c>
      <c r="C94" s="3154"/>
      <c r="D94" s="3156"/>
      <c r="E94" s="2159"/>
      <c r="F94" s="3125"/>
      <c r="G94" s="3126"/>
      <c r="H94" s="3127"/>
      <c r="I94" s="939"/>
      <c r="J94" s="939"/>
      <c r="K94" s="939"/>
      <c r="L94" s="939"/>
      <c r="M94" s="939"/>
      <c r="N94" s="939"/>
      <c r="O94" s="939"/>
      <c r="P94" s="939"/>
      <c r="Q94" s="939"/>
      <c r="R94" s="939"/>
      <c r="S94" s="939"/>
      <c r="T94" s="939"/>
      <c r="U94" s="939"/>
      <c r="V94" s="939"/>
      <c r="W94" s="939"/>
      <c r="X94" s="939"/>
    </row>
    <row r="95" spans="1:26" ht="16">
      <c r="A95" s="1290"/>
      <c r="B95" s="3154" t="s">
        <v>163</v>
      </c>
      <c r="C95" s="3154"/>
      <c r="D95" s="3156"/>
      <c r="E95" s="2159"/>
      <c r="F95" s="3125"/>
      <c r="G95" s="3126"/>
      <c r="H95" s="3127"/>
      <c r="I95" s="939"/>
      <c r="J95" s="939"/>
      <c r="K95" s="939"/>
      <c r="L95" s="939"/>
      <c r="M95" s="939"/>
      <c r="N95" s="939"/>
      <c r="O95" s="939"/>
      <c r="P95" s="939"/>
      <c r="Q95" s="939"/>
      <c r="R95" s="939"/>
      <c r="S95" s="939"/>
      <c r="T95" s="939"/>
      <c r="U95" s="939"/>
      <c r="V95" s="939"/>
      <c r="W95" s="939"/>
      <c r="X95" s="939"/>
    </row>
    <row r="96" spans="1:26" ht="16">
      <c r="A96" s="1290"/>
      <c r="B96" s="3154" t="s">
        <v>6</v>
      </c>
      <c r="C96" s="3154"/>
      <c r="D96" s="3156"/>
      <c r="E96" s="2159"/>
      <c r="F96" s="3125"/>
      <c r="G96" s="3126"/>
      <c r="H96" s="3127"/>
      <c r="I96" s="939"/>
      <c r="P96" s="939"/>
      <c r="Q96" s="939"/>
      <c r="R96" s="939"/>
      <c r="S96" s="939"/>
      <c r="T96" s="939"/>
      <c r="U96" s="939"/>
      <c r="V96" s="939"/>
      <c r="W96" s="939"/>
      <c r="X96" s="939"/>
    </row>
    <row r="97" spans="1:24" ht="16">
      <c r="A97" s="1290"/>
      <c r="B97" s="3154"/>
      <c r="C97" s="3154"/>
      <c r="D97" s="3156"/>
      <c r="E97" s="2159"/>
      <c r="F97" s="3125"/>
      <c r="G97" s="3126"/>
      <c r="H97" s="3127"/>
      <c r="I97" s="939"/>
      <c r="P97" s="939"/>
      <c r="Q97" s="939"/>
      <c r="R97" s="939"/>
      <c r="S97" s="939"/>
      <c r="T97" s="939"/>
      <c r="U97" s="939"/>
      <c r="V97" s="939"/>
      <c r="W97" s="939"/>
      <c r="X97" s="939"/>
    </row>
    <row r="98" spans="1:24" ht="16">
      <c r="A98" s="1290"/>
      <c r="B98" s="3154"/>
      <c r="C98" s="3154"/>
      <c r="D98" s="3156"/>
      <c r="E98" s="2159"/>
      <c r="F98" s="3125"/>
      <c r="G98" s="3126"/>
      <c r="H98" s="3127"/>
      <c r="I98" s="939"/>
      <c r="P98" s="939"/>
      <c r="Q98" s="939"/>
      <c r="R98" s="939"/>
      <c r="S98" s="939"/>
      <c r="T98" s="939"/>
      <c r="U98" s="939"/>
      <c r="V98" s="939"/>
      <c r="W98" s="939"/>
      <c r="X98" s="939"/>
    </row>
    <row r="99" spans="1:24" ht="16">
      <c r="A99" s="1290"/>
      <c r="B99" s="3154"/>
      <c r="C99" s="3154"/>
      <c r="D99" s="3156"/>
      <c r="E99" s="2159"/>
      <c r="F99" s="3125"/>
      <c r="G99" s="3126"/>
      <c r="H99" s="3127"/>
      <c r="I99" s="939"/>
      <c r="P99" s="939"/>
      <c r="Q99" s="939"/>
      <c r="R99" s="939"/>
      <c r="S99" s="939"/>
      <c r="T99" s="939"/>
      <c r="U99" s="939"/>
      <c r="V99" s="939"/>
      <c r="W99" s="939"/>
      <c r="X99" s="939"/>
    </row>
    <row r="100" spans="1:24" ht="16">
      <c r="A100" s="1290"/>
      <c r="B100" s="3154"/>
      <c r="C100" s="3154"/>
      <c r="D100" s="3156"/>
      <c r="E100" s="2159"/>
      <c r="F100" s="3125"/>
      <c r="G100" s="3126"/>
      <c r="H100" s="3127"/>
      <c r="I100" s="939"/>
      <c r="P100" s="939"/>
      <c r="Q100" s="939"/>
      <c r="R100" s="939"/>
      <c r="S100" s="939"/>
      <c r="T100" s="939"/>
      <c r="U100" s="939"/>
      <c r="V100" s="939"/>
      <c r="W100" s="939"/>
      <c r="X100" s="939"/>
    </row>
    <row r="101" spans="1:24" ht="15" customHeight="1" thickBot="1">
      <c r="A101" s="1290"/>
      <c r="B101" s="3154"/>
      <c r="C101" s="3154"/>
      <c r="D101" s="3156"/>
      <c r="E101" s="2159"/>
      <c r="F101" s="3128"/>
      <c r="G101" s="3129"/>
      <c r="H101" s="3130"/>
      <c r="I101" s="939"/>
      <c r="P101" s="939"/>
      <c r="Q101" s="939"/>
      <c r="R101" s="939"/>
      <c r="S101" s="939"/>
      <c r="T101" s="939"/>
      <c r="U101" s="939"/>
      <c r="V101" s="939"/>
      <c r="W101" s="939"/>
      <c r="X101" s="939"/>
    </row>
    <row r="102" spans="1:24" ht="17" thickBot="1">
      <c r="A102" s="1930"/>
      <c r="B102" s="1934" t="s">
        <v>80</v>
      </c>
      <c r="C102" s="1934"/>
      <c r="D102" s="1934"/>
      <c r="E102" s="1932">
        <f>SUM(E94:E101)</f>
        <v>0</v>
      </c>
      <c r="F102" s="3134">
        <f t="shared" ref="F102" si="5">SUM(F94:F101)</f>
        <v>0</v>
      </c>
      <c r="G102" s="3134"/>
      <c r="H102" s="3134"/>
      <c r="I102" s="939"/>
      <c r="P102" s="939"/>
      <c r="Q102" s="939"/>
      <c r="R102" s="939"/>
      <c r="S102" s="939"/>
      <c r="T102" s="939"/>
      <c r="U102" s="939"/>
      <c r="V102" s="939"/>
      <c r="W102" s="939"/>
      <c r="X102" s="939"/>
    </row>
    <row r="103" spans="1:24" ht="17" thickBot="1">
      <c r="A103" s="3095"/>
      <c r="B103" s="3096"/>
      <c r="C103" s="3096"/>
      <c r="D103" s="3096"/>
      <c r="E103" s="3096"/>
      <c r="F103" s="3096"/>
      <c r="G103" s="3096"/>
      <c r="H103" s="3096"/>
      <c r="I103" s="939"/>
      <c r="P103" s="939"/>
      <c r="Q103" s="939"/>
      <c r="R103" s="939"/>
      <c r="S103" s="939"/>
      <c r="T103" s="939"/>
      <c r="U103" s="939"/>
      <c r="V103" s="939"/>
      <c r="W103" s="939"/>
      <c r="X103" s="939"/>
    </row>
    <row r="104" spans="1:24" ht="16">
      <c r="A104" s="1933" t="str">
        <f>A93</f>
        <v>Kto. nr.</v>
      </c>
      <c r="B104" s="3143" t="s">
        <v>28</v>
      </c>
      <c r="C104" s="3143"/>
      <c r="D104" s="3209"/>
      <c r="E104" s="2160">
        <f>budgetår</f>
        <v>2024</v>
      </c>
      <c r="F104" s="3122" t="str">
        <f>F93</f>
        <v xml:space="preserve">Ændringer  </v>
      </c>
      <c r="G104" s="3123"/>
      <c r="H104" s="3124"/>
      <c r="I104" s="939"/>
      <c r="P104" s="939"/>
      <c r="Q104" s="939"/>
      <c r="R104" s="939"/>
      <c r="S104" s="939"/>
      <c r="T104" s="939"/>
      <c r="U104" s="939"/>
      <c r="V104" s="939"/>
      <c r="W104" s="939"/>
      <c r="X104" s="939"/>
    </row>
    <row r="105" spans="1:24" ht="16">
      <c r="A105" s="1290"/>
      <c r="B105" s="3135" t="s">
        <v>955</v>
      </c>
      <c r="C105" s="3135"/>
      <c r="D105" s="3135"/>
      <c r="E105" s="1915"/>
      <c r="F105" s="3125"/>
      <c r="G105" s="3221"/>
      <c r="H105" s="3127"/>
      <c r="I105" s="939"/>
      <c r="P105" s="939"/>
      <c r="Q105" s="939"/>
      <c r="R105" s="939"/>
      <c r="S105" s="939"/>
      <c r="T105" s="939"/>
      <c r="U105" s="939"/>
      <c r="V105" s="939"/>
      <c r="W105" s="939"/>
      <c r="X105" s="939"/>
    </row>
    <row r="106" spans="1:24" ht="16">
      <c r="A106" s="1290"/>
      <c r="B106" s="3195" t="s">
        <v>959</v>
      </c>
      <c r="C106" s="3195"/>
      <c r="D106" s="3195"/>
      <c r="E106" s="1915"/>
      <c r="F106" s="3125"/>
      <c r="G106" s="3221"/>
      <c r="H106" s="3127"/>
      <c r="I106" s="939"/>
      <c r="P106" s="939"/>
      <c r="Q106" s="939"/>
      <c r="R106" s="939"/>
      <c r="S106" s="939"/>
      <c r="T106" s="939"/>
      <c r="U106" s="939"/>
      <c r="V106" s="939"/>
      <c r="W106" s="939"/>
      <c r="X106" s="939"/>
    </row>
    <row r="107" spans="1:24" ht="16">
      <c r="A107" s="1290"/>
      <c r="B107" s="3197" t="s">
        <v>934</v>
      </c>
      <c r="C107" s="3197"/>
      <c r="D107" s="3197"/>
      <c r="E107" s="1915"/>
      <c r="F107" s="3125"/>
      <c r="G107" s="3221"/>
      <c r="H107" s="3127"/>
      <c r="I107" s="939"/>
      <c r="P107" s="939"/>
      <c r="Q107" s="939"/>
      <c r="R107" s="939"/>
      <c r="S107" s="939"/>
      <c r="T107" s="939"/>
      <c r="U107" s="939"/>
      <c r="V107" s="939"/>
      <c r="W107" s="939"/>
      <c r="X107" s="939"/>
    </row>
    <row r="108" spans="1:24" ht="16">
      <c r="A108" s="1290"/>
      <c r="B108" s="3154"/>
      <c r="C108" s="3154"/>
      <c r="D108" s="3154"/>
      <c r="E108" s="1915"/>
      <c r="F108" s="3125"/>
      <c r="G108" s="3221"/>
      <c r="H108" s="3127"/>
      <c r="I108" s="939"/>
      <c r="P108" s="939"/>
      <c r="Q108" s="939"/>
      <c r="R108" s="939"/>
      <c r="S108" s="939"/>
      <c r="T108" s="939"/>
      <c r="U108" s="939"/>
      <c r="V108" s="939"/>
      <c r="W108" s="939"/>
      <c r="X108" s="939"/>
    </row>
    <row r="109" spans="1:24" ht="16">
      <c r="A109" s="1290"/>
      <c r="B109" s="3154"/>
      <c r="C109" s="3154"/>
      <c r="D109" s="3154"/>
      <c r="E109" s="1915"/>
      <c r="F109" s="3125"/>
      <c r="G109" s="3221"/>
      <c r="H109" s="3127"/>
      <c r="I109" s="939"/>
      <c r="P109" s="939"/>
      <c r="Q109" s="939"/>
      <c r="R109" s="939"/>
      <c r="S109" s="939"/>
      <c r="T109" s="939"/>
      <c r="U109" s="939"/>
      <c r="V109" s="939"/>
      <c r="W109" s="939"/>
      <c r="X109" s="939"/>
    </row>
    <row r="110" spans="1:24" ht="16">
      <c r="A110" s="1290"/>
      <c r="B110" s="3154"/>
      <c r="C110" s="3154"/>
      <c r="D110" s="3154"/>
      <c r="E110" s="1915"/>
      <c r="F110" s="3125"/>
      <c r="G110" s="3221"/>
      <c r="H110" s="3127"/>
      <c r="I110" s="939"/>
      <c r="P110" s="939"/>
      <c r="Q110" s="939"/>
      <c r="R110" s="939"/>
      <c r="S110" s="939"/>
      <c r="T110" s="939"/>
      <c r="U110" s="939"/>
      <c r="V110" s="939"/>
      <c r="W110" s="939"/>
      <c r="X110" s="939"/>
    </row>
    <row r="111" spans="1:24" ht="17" thickBot="1">
      <c r="A111" s="1290"/>
      <c r="B111" s="3154"/>
      <c r="C111" s="3154"/>
      <c r="D111" s="3154"/>
      <c r="E111" s="1915"/>
      <c r="F111" s="3128"/>
      <c r="G111" s="3129"/>
      <c r="H111" s="3130"/>
      <c r="I111" s="939"/>
      <c r="P111" s="939"/>
      <c r="Q111" s="939"/>
      <c r="R111" s="939"/>
      <c r="S111" s="939"/>
      <c r="T111" s="939"/>
      <c r="U111" s="939"/>
      <c r="V111" s="939"/>
      <c r="W111" s="939"/>
      <c r="X111" s="939"/>
    </row>
    <row r="112" spans="1:24" ht="17" thickBot="1">
      <c r="A112" s="1930"/>
      <c r="B112" s="1289" t="s">
        <v>56</v>
      </c>
      <c r="C112" s="1289"/>
      <c r="D112" s="1935"/>
      <c r="E112" s="1932">
        <f>SUM(E105:E111)</f>
        <v>0</v>
      </c>
      <c r="F112" s="3134">
        <f t="shared" ref="F112" si="6">SUM(F105:F111)</f>
        <v>0</v>
      </c>
      <c r="G112" s="3134"/>
      <c r="H112" s="3134"/>
      <c r="I112" s="939"/>
      <c r="P112" s="939"/>
      <c r="Q112" s="939"/>
      <c r="R112" s="939"/>
      <c r="S112" s="939"/>
      <c r="T112" s="939"/>
      <c r="U112" s="939"/>
      <c r="V112" s="939"/>
      <c r="W112" s="939"/>
      <c r="X112" s="939"/>
    </row>
    <row r="113" spans="1:24" ht="17" thickBot="1">
      <c r="A113" s="3095"/>
      <c r="B113" s="3096"/>
      <c r="C113" s="3096"/>
      <c r="D113" s="3096"/>
      <c r="E113" s="3096"/>
      <c r="F113" s="3096"/>
      <c r="G113" s="3096"/>
      <c r="H113" s="3096"/>
      <c r="I113" s="939"/>
      <c r="P113" s="939"/>
      <c r="Q113" s="939"/>
      <c r="R113" s="939"/>
      <c r="S113" s="939"/>
      <c r="T113" s="939"/>
      <c r="U113" s="939"/>
      <c r="V113" s="939"/>
      <c r="W113" s="939"/>
      <c r="X113" s="939"/>
    </row>
    <row r="114" spans="1:24" ht="16">
      <c r="A114" s="1933" t="str">
        <f>A104</f>
        <v>Kto. nr.</v>
      </c>
      <c r="B114" s="1255" t="s">
        <v>1062</v>
      </c>
      <c r="C114" s="1255"/>
      <c r="D114" s="1255"/>
      <c r="E114" s="1919">
        <f>budgetår</f>
        <v>2024</v>
      </c>
      <c r="F114" s="3122" t="str">
        <f>F104</f>
        <v xml:space="preserve">Ændringer  </v>
      </c>
      <c r="G114" s="3123"/>
      <c r="H114" s="3124"/>
      <c r="I114" s="939"/>
      <c r="P114" s="939"/>
      <c r="Q114" s="939"/>
      <c r="R114" s="939"/>
      <c r="S114" s="939"/>
      <c r="T114" s="939"/>
      <c r="U114" s="939"/>
      <c r="V114" s="939"/>
      <c r="W114" s="939"/>
      <c r="X114" s="939"/>
    </row>
    <row r="115" spans="1:24" ht="16">
      <c r="A115" s="1290"/>
      <c r="B115" s="3135"/>
      <c r="C115" s="3135"/>
      <c r="D115" s="3136"/>
      <c r="E115" s="1929"/>
      <c r="F115" s="3125"/>
      <c r="G115" s="3221"/>
      <c r="H115" s="3127"/>
      <c r="I115" s="939"/>
      <c r="P115" s="939"/>
      <c r="Q115" s="939"/>
      <c r="R115" s="939"/>
      <c r="S115" s="939"/>
      <c r="T115" s="939"/>
      <c r="U115" s="939"/>
      <c r="V115" s="939"/>
      <c r="W115" s="939"/>
      <c r="X115" s="939"/>
    </row>
    <row r="116" spans="1:24" ht="16">
      <c r="A116" s="1290"/>
      <c r="B116" s="3195"/>
      <c r="C116" s="3195"/>
      <c r="D116" s="3196"/>
      <c r="E116" s="2154"/>
      <c r="F116" s="3125"/>
      <c r="G116" s="3221"/>
      <c r="H116" s="3127"/>
      <c r="I116" s="939"/>
      <c r="P116" s="939"/>
      <c r="Q116" s="939"/>
      <c r="R116" s="939"/>
      <c r="S116" s="939"/>
      <c r="T116" s="939"/>
      <c r="U116" s="939"/>
      <c r="V116" s="939"/>
      <c r="W116" s="939"/>
      <c r="X116" s="939"/>
    </row>
    <row r="117" spans="1:24" ht="16">
      <c r="A117" s="1290"/>
      <c r="B117" s="3197"/>
      <c r="C117" s="3197"/>
      <c r="D117" s="3198"/>
      <c r="E117" s="2154"/>
      <c r="F117" s="3125"/>
      <c r="G117" s="3221"/>
      <c r="H117" s="3127"/>
      <c r="I117" s="939"/>
      <c r="P117" s="939"/>
      <c r="Q117" s="939"/>
      <c r="R117" s="939"/>
      <c r="S117" s="939"/>
      <c r="T117" s="939"/>
      <c r="U117" s="939"/>
      <c r="V117" s="939"/>
      <c r="W117" s="939"/>
      <c r="X117" s="939"/>
    </row>
    <row r="118" spans="1:24" ht="17" thickBot="1">
      <c r="A118" s="1290"/>
      <c r="B118" s="3154"/>
      <c r="C118" s="3154"/>
      <c r="D118" s="3155"/>
      <c r="E118" s="2154"/>
      <c r="F118" s="3128"/>
      <c r="G118" s="3129"/>
      <c r="H118" s="3130"/>
      <c r="I118" s="939"/>
      <c r="P118" s="939"/>
      <c r="Q118" s="939"/>
      <c r="R118" s="939"/>
      <c r="S118" s="939"/>
      <c r="T118" s="939"/>
      <c r="U118" s="939"/>
      <c r="V118" s="939"/>
      <c r="W118" s="939"/>
      <c r="X118" s="939"/>
    </row>
    <row r="119" spans="1:24" ht="17" thickBot="1">
      <c r="A119" s="1930"/>
      <c r="B119" s="1289" t="s">
        <v>962</v>
      </c>
      <c r="C119" s="1289"/>
      <c r="D119" s="1935"/>
      <c r="E119" s="1936">
        <f>SUM(E115:E118)</f>
        <v>0</v>
      </c>
      <c r="F119" s="3134">
        <f t="shared" ref="F119" si="7">SUM(F115:F118)</f>
        <v>0</v>
      </c>
      <c r="G119" s="3134"/>
      <c r="H119" s="3134"/>
      <c r="I119" s="939"/>
      <c r="P119" s="939"/>
      <c r="Q119" s="939"/>
      <c r="R119" s="939"/>
      <c r="S119" s="939"/>
      <c r="T119" s="939"/>
      <c r="U119" s="939"/>
      <c r="V119" s="939"/>
      <c r="W119" s="939"/>
      <c r="X119" s="939"/>
    </row>
    <row r="120" spans="1:24" ht="17" thickBot="1">
      <c r="A120" s="3152"/>
      <c r="B120" s="3153"/>
      <c r="C120" s="3153"/>
      <c r="D120" s="3153"/>
      <c r="E120" s="3153"/>
      <c r="F120" s="3153"/>
      <c r="G120" s="3153"/>
      <c r="H120" s="3153"/>
      <c r="I120" s="939"/>
      <c r="P120" s="939"/>
      <c r="Q120" s="939"/>
      <c r="R120" s="939"/>
      <c r="S120" s="939"/>
      <c r="T120" s="939"/>
      <c r="U120" s="939"/>
      <c r="V120" s="939"/>
      <c r="W120" s="939"/>
      <c r="X120" s="939"/>
    </row>
    <row r="121" spans="1:24" ht="16">
      <c r="A121" s="1933" t="str">
        <f>A114</f>
        <v>Kto. nr.</v>
      </c>
      <c r="B121" s="3143" t="s">
        <v>1061</v>
      </c>
      <c r="C121" s="3143"/>
      <c r="D121" s="3144"/>
      <c r="E121" s="2161">
        <f>budgetår</f>
        <v>2024</v>
      </c>
      <c r="F121" s="3122" t="str">
        <f>F114</f>
        <v xml:space="preserve">Ændringer  </v>
      </c>
      <c r="G121" s="3123"/>
      <c r="H121" s="3124"/>
      <c r="I121" s="939"/>
      <c r="P121" s="939"/>
      <c r="Q121" s="939"/>
      <c r="R121" s="939"/>
      <c r="S121" s="939"/>
      <c r="T121" s="939"/>
      <c r="U121" s="939"/>
      <c r="V121" s="939"/>
      <c r="W121" s="939"/>
      <c r="X121" s="939"/>
    </row>
    <row r="122" spans="1:24" ht="16">
      <c r="A122" s="1290"/>
      <c r="B122" s="3216" t="s">
        <v>96</v>
      </c>
      <c r="C122" s="3216"/>
      <c r="D122" s="3217"/>
      <c r="E122" s="2154"/>
      <c r="F122" s="3125"/>
      <c r="G122" s="3126"/>
      <c r="H122" s="3127"/>
      <c r="I122" s="939"/>
      <c r="P122" s="939"/>
      <c r="Q122" s="939"/>
      <c r="R122" s="939"/>
      <c r="S122" s="939"/>
      <c r="T122" s="939"/>
      <c r="U122" s="939"/>
      <c r="V122" s="939"/>
      <c r="W122" s="939"/>
      <c r="X122" s="939"/>
    </row>
    <row r="123" spans="1:24" ht="16">
      <c r="A123" s="1290"/>
      <c r="B123" s="3135" t="s">
        <v>105</v>
      </c>
      <c r="C123" s="3135"/>
      <c r="D123" s="3136"/>
      <c r="E123" s="1914"/>
      <c r="F123" s="3125"/>
      <c r="G123" s="3126"/>
      <c r="H123" s="3127"/>
      <c r="I123" s="939"/>
      <c r="P123" s="939"/>
      <c r="Q123" s="939"/>
      <c r="R123" s="939"/>
      <c r="S123" s="939"/>
      <c r="T123" s="939"/>
      <c r="U123" s="939"/>
      <c r="V123" s="939"/>
      <c r="W123" s="939"/>
      <c r="X123" s="939"/>
    </row>
    <row r="124" spans="1:24" ht="16">
      <c r="A124" s="1290"/>
      <c r="B124" s="3135" t="s">
        <v>234</v>
      </c>
      <c r="C124" s="3135"/>
      <c r="D124" s="3136"/>
      <c r="E124" s="2162"/>
      <c r="F124" s="3125"/>
      <c r="G124" s="3126"/>
      <c r="H124" s="3127"/>
      <c r="I124" s="939"/>
      <c r="P124" s="939"/>
      <c r="Q124" s="939"/>
      <c r="R124" s="939"/>
      <c r="S124" s="939"/>
      <c r="T124" s="939"/>
      <c r="U124" s="939"/>
      <c r="V124" s="939"/>
      <c r="W124" s="939"/>
      <c r="X124" s="939"/>
    </row>
    <row r="125" spans="1:24" ht="16">
      <c r="A125" s="1290"/>
      <c r="B125" s="3135"/>
      <c r="C125" s="3135"/>
      <c r="D125" s="3136"/>
      <c r="E125" s="1915"/>
      <c r="F125" s="3125"/>
      <c r="G125" s="3126"/>
      <c r="H125" s="3127"/>
      <c r="I125" s="939"/>
      <c r="P125" s="939"/>
      <c r="Q125" s="939"/>
      <c r="R125" s="939"/>
      <c r="S125" s="939"/>
      <c r="T125" s="939"/>
      <c r="U125" s="939"/>
      <c r="V125" s="939"/>
      <c r="W125" s="939"/>
      <c r="X125" s="939"/>
    </row>
    <row r="126" spans="1:24" ht="16">
      <c r="A126" s="1290"/>
      <c r="B126" s="3135"/>
      <c r="C126" s="3135"/>
      <c r="D126" s="3136"/>
      <c r="E126" s="1916"/>
      <c r="F126" s="3125"/>
      <c r="G126" s="3126"/>
      <c r="H126" s="3127"/>
      <c r="I126" s="939"/>
      <c r="P126" s="939"/>
      <c r="Q126" s="939"/>
      <c r="R126" s="939"/>
      <c r="S126" s="939"/>
      <c r="T126" s="939"/>
      <c r="U126" s="939"/>
      <c r="V126" s="939"/>
      <c r="W126" s="939"/>
      <c r="X126" s="939"/>
    </row>
    <row r="127" spans="1:24" ht="16">
      <c r="A127" s="1290"/>
      <c r="B127" s="3212"/>
      <c r="C127" s="3212"/>
      <c r="D127" s="3213"/>
      <c r="E127" s="1915"/>
      <c r="F127" s="3125"/>
      <c r="G127" s="3126"/>
      <c r="H127" s="3127"/>
      <c r="I127" s="939"/>
      <c r="P127" s="939"/>
      <c r="Q127" s="939"/>
      <c r="R127" s="939"/>
      <c r="S127" s="939"/>
      <c r="T127" s="939"/>
      <c r="U127" s="939"/>
      <c r="V127" s="939"/>
      <c r="W127" s="939"/>
      <c r="X127" s="939"/>
    </row>
    <row r="128" spans="1:24" ht="16">
      <c r="A128" s="1290"/>
      <c r="B128" s="3214"/>
      <c r="C128" s="3214"/>
      <c r="D128" s="3215"/>
      <c r="E128" s="1917"/>
      <c r="F128" s="3125"/>
      <c r="G128" s="3126"/>
      <c r="H128" s="3127"/>
      <c r="I128" s="939"/>
      <c r="J128" s="939"/>
      <c r="K128" s="939"/>
      <c r="L128" s="939"/>
      <c r="M128" s="939"/>
      <c r="N128" s="939"/>
      <c r="O128" s="939"/>
      <c r="P128" s="939"/>
      <c r="Q128" s="939"/>
      <c r="R128" s="939"/>
      <c r="S128" s="939"/>
      <c r="T128" s="939"/>
      <c r="U128" s="939"/>
      <c r="V128" s="939"/>
      <c r="W128" s="939"/>
      <c r="X128" s="939"/>
    </row>
    <row r="129" spans="1:24" ht="16">
      <c r="A129" s="1290"/>
      <c r="B129" s="3147"/>
      <c r="C129" s="3147"/>
      <c r="D129" s="3148"/>
      <c r="E129" s="1918"/>
      <c r="F129" s="3125"/>
      <c r="G129" s="3126"/>
      <c r="H129" s="3127"/>
      <c r="I129" s="939"/>
      <c r="J129" s="939"/>
      <c r="K129" s="939"/>
      <c r="L129" s="939"/>
      <c r="M129" s="939"/>
      <c r="N129" s="939"/>
      <c r="O129" s="939"/>
      <c r="P129" s="939"/>
      <c r="Q129" s="939"/>
      <c r="R129" s="939"/>
      <c r="S129" s="939"/>
      <c r="T129" s="939"/>
      <c r="U129" s="939"/>
      <c r="V129" s="939"/>
      <c r="W129" s="939"/>
      <c r="X129" s="939"/>
    </row>
    <row r="130" spans="1:24" ht="17" thickBot="1">
      <c r="A130" s="1290"/>
      <c r="B130" s="3145"/>
      <c r="C130" s="3145"/>
      <c r="D130" s="3146"/>
      <c r="E130" s="2155"/>
      <c r="F130" s="3128"/>
      <c r="G130" s="3129"/>
      <c r="H130" s="3130"/>
      <c r="I130" s="939"/>
      <c r="J130" s="939"/>
      <c r="K130" s="939"/>
      <c r="L130" s="939"/>
      <c r="M130" s="939"/>
      <c r="N130" s="939"/>
      <c r="O130" s="939"/>
      <c r="P130" s="939"/>
      <c r="Q130" s="939"/>
      <c r="R130" s="939"/>
      <c r="S130" s="939"/>
      <c r="T130" s="939"/>
      <c r="U130" s="939"/>
      <c r="V130" s="939"/>
      <c r="W130" s="939"/>
      <c r="X130" s="939"/>
    </row>
    <row r="131" spans="1:24" ht="17" thickBot="1">
      <c r="A131" s="1930"/>
      <c r="B131" s="1289" t="s">
        <v>964</v>
      </c>
      <c r="C131" s="1289"/>
      <c r="D131" s="1289"/>
      <c r="E131" s="2281">
        <f>SUM(E122:E130)</f>
        <v>0</v>
      </c>
      <c r="F131" s="3137">
        <f t="shared" ref="F131" si="8">SUM(F122:F130)</f>
        <v>0</v>
      </c>
      <c r="G131" s="3138"/>
      <c r="H131" s="3139"/>
      <c r="I131" s="939"/>
      <c r="J131" s="939"/>
      <c r="K131" s="939"/>
      <c r="L131" s="939"/>
      <c r="M131" s="939"/>
      <c r="N131" s="939"/>
      <c r="O131" s="939"/>
      <c r="P131" s="939"/>
      <c r="Q131" s="939"/>
      <c r="R131" s="939"/>
      <c r="S131" s="939"/>
      <c r="T131" s="939"/>
      <c r="U131" s="939"/>
      <c r="V131" s="939"/>
      <c r="W131" s="939"/>
      <c r="X131" s="939"/>
    </row>
    <row r="132" spans="1:24" ht="17" thickBot="1">
      <c r="A132" s="3095"/>
      <c r="B132" s="3096"/>
      <c r="C132" s="3096"/>
      <c r="D132" s="3096"/>
      <c r="E132" s="3096"/>
      <c r="F132" s="3096"/>
      <c r="G132" s="3096"/>
      <c r="H132" s="3096"/>
      <c r="I132" s="939"/>
      <c r="J132" s="939"/>
      <c r="K132" s="939"/>
      <c r="L132" s="939"/>
      <c r="M132" s="939"/>
      <c r="N132" s="939"/>
      <c r="O132" s="939"/>
      <c r="P132" s="939"/>
      <c r="Q132" s="939"/>
      <c r="R132" s="939"/>
      <c r="S132" s="939"/>
      <c r="T132" s="939"/>
      <c r="U132" s="939"/>
      <c r="V132" s="939"/>
      <c r="W132" s="939"/>
      <c r="X132" s="939"/>
    </row>
    <row r="133" spans="1:24" ht="16">
      <c r="A133" s="1933" t="str">
        <f>A121</f>
        <v>Kto. nr.</v>
      </c>
      <c r="B133" s="3143" t="s">
        <v>1056</v>
      </c>
      <c r="C133" s="3143"/>
      <c r="D133" s="3144"/>
      <c r="E133" s="2161">
        <f>budgetår</f>
        <v>2024</v>
      </c>
      <c r="F133" s="3122" t="str">
        <f>F121</f>
        <v xml:space="preserve">Ændringer  </v>
      </c>
      <c r="G133" s="3123"/>
      <c r="H133" s="3124"/>
      <c r="I133" s="939"/>
      <c r="J133" s="939"/>
      <c r="K133" s="939"/>
      <c r="L133" s="939"/>
      <c r="M133" s="939"/>
      <c r="N133" s="939"/>
      <c r="O133" s="939"/>
      <c r="P133" s="939"/>
      <c r="Q133" s="939"/>
      <c r="R133" s="939"/>
      <c r="S133" s="939"/>
      <c r="T133" s="939"/>
      <c r="U133" s="939"/>
      <c r="V133" s="939"/>
      <c r="W133" s="939"/>
      <c r="X133" s="939"/>
    </row>
    <row r="134" spans="1:24" ht="16">
      <c r="A134" s="1290"/>
      <c r="B134" s="3216" t="s">
        <v>1036</v>
      </c>
      <c r="C134" s="3216"/>
      <c r="D134" s="3217"/>
      <c r="E134" s="2154"/>
      <c r="F134" s="3125"/>
      <c r="G134" s="3126"/>
      <c r="H134" s="3127"/>
      <c r="I134" s="939"/>
      <c r="J134" s="939"/>
      <c r="K134" s="939"/>
      <c r="L134" s="939"/>
      <c r="M134" s="939"/>
      <c r="N134" s="939"/>
      <c r="O134" s="939"/>
      <c r="P134" s="939"/>
      <c r="Q134" s="939"/>
      <c r="R134" s="939"/>
      <c r="S134" s="939"/>
      <c r="T134" s="939"/>
      <c r="U134" s="939"/>
      <c r="V134" s="939"/>
      <c r="W134" s="939"/>
      <c r="X134" s="939"/>
    </row>
    <row r="135" spans="1:24" ht="16">
      <c r="A135" s="1290"/>
      <c r="B135" s="3135"/>
      <c r="C135" s="3135"/>
      <c r="D135" s="3136"/>
      <c r="E135" s="2163"/>
      <c r="F135" s="3125"/>
      <c r="G135" s="3126"/>
      <c r="H135" s="3127"/>
      <c r="I135" s="939"/>
      <c r="J135" s="939"/>
      <c r="K135" s="939"/>
      <c r="L135" s="939"/>
      <c r="M135" s="939"/>
      <c r="N135" s="939"/>
      <c r="O135" s="939"/>
      <c r="P135" s="939"/>
      <c r="Q135" s="939"/>
      <c r="R135" s="939"/>
      <c r="S135" s="939"/>
      <c r="T135" s="939"/>
      <c r="U135" s="939"/>
      <c r="V135" s="939"/>
      <c r="W135" s="939"/>
      <c r="X135" s="939"/>
    </row>
    <row r="136" spans="1:24" ht="17" thickBot="1">
      <c r="A136" s="1290"/>
      <c r="B136" s="3135"/>
      <c r="C136" s="3135"/>
      <c r="D136" s="3136"/>
      <c r="E136" s="2162"/>
      <c r="F136" s="3128"/>
      <c r="G136" s="3129"/>
      <c r="H136" s="3130"/>
      <c r="I136" s="939"/>
      <c r="J136" s="939"/>
      <c r="K136" s="939"/>
      <c r="L136" s="939"/>
      <c r="M136" s="939"/>
      <c r="N136" s="939"/>
      <c r="O136" s="939"/>
      <c r="P136" s="939"/>
      <c r="Q136" s="939"/>
      <c r="R136" s="939"/>
      <c r="S136" s="939"/>
      <c r="T136" s="939"/>
      <c r="U136" s="939"/>
      <c r="V136" s="939"/>
      <c r="W136" s="939"/>
      <c r="X136" s="939"/>
    </row>
    <row r="137" spans="1:24" ht="17" thickBot="1">
      <c r="A137" s="1930"/>
      <c r="B137" s="1289" t="s">
        <v>1046</v>
      </c>
      <c r="C137" s="1289"/>
      <c r="D137" s="1289"/>
      <c r="E137" s="2281">
        <f>SUM(E134:E136)</f>
        <v>0</v>
      </c>
      <c r="F137" s="3137">
        <f t="shared" ref="F137" si="9">SUM(F134:F136)</f>
        <v>0</v>
      </c>
      <c r="G137" s="3138"/>
      <c r="H137" s="3139"/>
      <c r="I137" s="939"/>
      <c r="J137" s="939"/>
      <c r="K137" s="939"/>
      <c r="L137" s="939"/>
      <c r="M137" s="939"/>
      <c r="N137" s="939"/>
      <c r="O137" s="939"/>
      <c r="P137" s="939"/>
      <c r="Q137" s="939"/>
      <c r="R137" s="939"/>
      <c r="S137" s="939"/>
      <c r="T137" s="939"/>
      <c r="U137" s="939"/>
      <c r="V137" s="939"/>
      <c r="W137" s="939"/>
      <c r="X137" s="939"/>
    </row>
    <row r="138" spans="1:24" ht="17" thickBot="1">
      <c r="A138" s="3095"/>
      <c r="B138" s="3096"/>
      <c r="C138" s="3096"/>
      <c r="D138" s="3096"/>
      <c r="E138" s="3096"/>
      <c r="F138" s="3096"/>
      <c r="G138" s="3096"/>
      <c r="H138" s="3096"/>
      <c r="I138" s="939"/>
      <c r="J138" s="939"/>
      <c r="K138" s="939"/>
      <c r="L138" s="939"/>
      <c r="M138" s="939"/>
      <c r="N138" s="939"/>
      <c r="O138" s="939"/>
      <c r="P138" s="939"/>
      <c r="Q138" s="939"/>
      <c r="R138" s="939"/>
      <c r="S138" s="939"/>
      <c r="T138" s="939"/>
      <c r="U138" s="939"/>
      <c r="V138" s="939"/>
      <c r="W138" s="939"/>
      <c r="X138" s="939"/>
    </row>
    <row r="139" spans="1:24" ht="16">
      <c r="A139" s="1933" t="str">
        <f>A133</f>
        <v>Kto. nr.</v>
      </c>
      <c r="B139" s="1255" t="s">
        <v>1063</v>
      </c>
      <c r="C139" s="1255"/>
      <c r="D139" s="1255"/>
      <c r="E139" s="1919">
        <f>budgetår</f>
        <v>2024</v>
      </c>
      <c r="F139" s="3140" t="str">
        <f>F133</f>
        <v xml:space="preserve">Ændringer  </v>
      </c>
      <c r="G139" s="3141"/>
      <c r="H139" s="3142"/>
      <c r="I139" s="939"/>
      <c r="J139" s="939"/>
      <c r="K139" s="939"/>
      <c r="L139" s="939"/>
      <c r="M139" s="939"/>
      <c r="N139" s="939"/>
      <c r="O139" s="939"/>
      <c r="P139" s="939"/>
      <c r="Q139" s="939"/>
      <c r="R139" s="939"/>
      <c r="S139" s="939"/>
      <c r="T139" s="939"/>
      <c r="U139" s="939"/>
      <c r="V139" s="939"/>
      <c r="W139" s="939"/>
      <c r="X139" s="939"/>
    </row>
    <row r="140" spans="1:24" ht="15" customHeight="1">
      <c r="A140" s="1290"/>
      <c r="B140" s="3135" t="s">
        <v>123</v>
      </c>
      <c r="C140" s="3135"/>
      <c r="D140" s="3136"/>
      <c r="E140" s="1913"/>
      <c r="F140" s="3125"/>
      <c r="G140" s="3126"/>
      <c r="H140" s="3127"/>
      <c r="I140" s="939"/>
      <c r="J140" s="939"/>
      <c r="K140" s="939"/>
      <c r="L140" s="939"/>
      <c r="M140" s="939"/>
      <c r="N140" s="939"/>
      <c r="O140" s="939"/>
      <c r="P140" s="939"/>
      <c r="Q140" s="939"/>
      <c r="R140" s="939"/>
      <c r="S140" s="939"/>
      <c r="T140" s="939"/>
      <c r="U140" s="939"/>
      <c r="V140" s="939"/>
      <c r="W140" s="939"/>
      <c r="X140" s="939"/>
    </row>
    <row r="141" spans="1:24" ht="16">
      <c r="A141" s="1290"/>
      <c r="B141" s="3195" t="s">
        <v>947</v>
      </c>
      <c r="C141" s="3195"/>
      <c r="D141" s="3196"/>
      <c r="E141" s="1913"/>
      <c r="F141" s="3125"/>
      <c r="G141" s="3126"/>
      <c r="H141" s="3127"/>
      <c r="I141" s="939"/>
      <c r="J141" s="939"/>
      <c r="K141" s="939"/>
      <c r="L141" s="939"/>
      <c r="M141" s="939"/>
      <c r="N141" s="939"/>
      <c r="O141" s="939"/>
      <c r="P141" s="939"/>
      <c r="Q141" s="939"/>
      <c r="R141" s="939"/>
      <c r="S141" s="939"/>
      <c r="T141" s="939"/>
      <c r="U141" s="939"/>
      <c r="V141" s="939"/>
      <c r="W141" s="939"/>
      <c r="X141" s="939"/>
    </row>
    <row r="142" spans="1:24" ht="16">
      <c r="A142" s="1290"/>
      <c r="B142" s="3197" t="s">
        <v>948</v>
      </c>
      <c r="C142" s="3197"/>
      <c r="D142" s="3198"/>
      <c r="E142" s="1913"/>
      <c r="F142" s="3125"/>
      <c r="G142" s="3126"/>
      <c r="H142" s="3127"/>
      <c r="I142" s="939"/>
      <c r="J142" s="939"/>
      <c r="K142" s="939"/>
      <c r="L142" s="939"/>
      <c r="M142" s="939"/>
      <c r="N142" s="939"/>
      <c r="O142" s="939"/>
      <c r="P142" s="939"/>
      <c r="Q142" s="939"/>
      <c r="R142" s="939"/>
      <c r="S142" s="939"/>
      <c r="T142" s="939"/>
      <c r="U142" s="939"/>
      <c r="V142" s="939"/>
      <c r="W142" s="939"/>
      <c r="X142" s="939"/>
    </row>
    <row r="143" spans="1:24" ht="17" thickBot="1">
      <c r="A143" s="1290"/>
      <c r="B143" s="3154"/>
      <c r="C143" s="3154"/>
      <c r="D143" s="3155"/>
      <c r="E143" s="1913"/>
      <c r="F143" s="3128"/>
      <c r="G143" s="3129"/>
      <c r="H143" s="3130"/>
      <c r="I143" s="939"/>
      <c r="J143" s="939"/>
      <c r="K143" s="939"/>
      <c r="L143" s="939"/>
      <c r="M143" s="939"/>
      <c r="N143" s="939"/>
      <c r="O143" s="939"/>
      <c r="P143" s="939"/>
      <c r="Q143" s="939"/>
      <c r="R143" s="939"/>
      <c r="S143" s="939"/>
      <c r="T143" s="939"/>
      <c r="U143" s="939"/>
      <c r="V143" s="939"/>
      <c r="W143" s="939"/>
      <c r="X143" s="939"/>
    </row>
    <row r="144" spans="1:24" ht="17" thickBot="1">
      <c r="A144" s="1930"/>
      <c r="B144" s="1289" t="s">
        <v>960</v>
      </c>
      <c r="C144" s="1289"/>
      <c r="D144" s="1935"/>
      <c r="E144" s="1936">
        <f>SUM(E140:E143)</f>
        <v>0</v>
      </c>
      <c r="F144" s="3134">
        <f t="shared" ref="F144" si="10">SUM(F140:F143)</f>
        <v>0</v>
      </c>
      <c r="G144" s="3134"/>
      <c r="H144" s="3134"/>
      <c r="I144" s="939"/>
      <c r="J144" s="939"/>
      <c r="K144" s="939"/>
      <c r="L144" s="939"/>
      <c r="M144" s="939"/>
      <c r="N144" s="939"/>
      <c r="O144" s="939"/>
      <c r="P144" s="939"/>
      <c r="Q144" s="939"/>
      <c r="R144" s="939"/>
      <c r="S144" s="939"/>
      <c r="T144" s="939"/>
      <c r="U144" s="939"/>
      <c r="V144" s="939"/>
      <c r="W144" s="939"/>
      <c r="X144" s="939"/>
    </row>
    <row r="145" spans="1:24" ht="17" thickBot="1">
      <c r="A145" s="3095"/>
      <c r="B145" s="3096"/>
      <c r="C145" s="3096"/>
      <c r="D145" s="3096"/>
      <c r="E145" s="3096"/>
      <c r="F145" s="3096"/>
      <c r="G145" s="3096"/>
      <c r="H145" s="3096"/>
      <c r="I145" s="939"/>
      <c r="J145" s="939"/>
      <c r="K145" s="939"/>
      <c r="L145" s="939"/>
      <c r="M145" s="939"/>
      <c r="N145" s="939"/>
      <c r="O145" s="939"/>
      <c r="P145" s="939"/>
      <c r="Q145" s="939"/>
      <c r="R145" s="939"/>
      <c r="S145" s="939"/>
      <c r="T145" s="939"/>
      <c r="U145" s="939"/>
      <c r="V145" s="939"/>
      <c r="W145" s="939"/>
      <c r="X145" s="939"/>
    </row>
    <row r="146" spans="1:24" ht="16">
      <c r="A146" s="1933" t="str">
        <f>A139</f>
        <v>Kto. nr.</v>
      </c>
      <c r="B146" s="1255" t="s">
        <v>1064</v>
      </c>
      <c r="C146" s="1255"/>
      <c r="D146" s="1255"/>
      <c r="E146" s="1919">
        <f>budgetår</f>
        <v>2024</v>
      </c>
      <c r="F146" s="3122" t="str">
        <f>F139</f>
        <v xml:space="preserve">Ændringer  </v>
      </c>
      <c r="G146" s="3123"/>
      <c r="H146" s="3124"/>
      <c r="I146" s="939"/>
      <c r="J146" s="939"/>
      <c r="K146" s="939"/>
      <c r="L146" s="939"/>
      <c r="M146" s="939"/>
      <c r="N146" s="939"/>
      <c r="O146" s="939"/>
      <c r="P146" s="939"/>
      <c r="Q146" s="939"/>
      <c r="R146" s="939"/>
      <c r="S146" s="939"/>
      <c r="T146" s="939"/>
      <c r="U146" s="939"/>
      <c r="V146" s="939"/>
      <c r="W146" s="939"/>
      <c r="X146" s="939"/>
    </row>
    <row r="147" spans="1:24" ht="16">
      <c r="A147" s="1290"/>
      <c r="B147" s="3135" t="s">
        <v>145</v>
      </c>
      <c r="C147" s="3135"/>
      <c r="D147" s="3136"/>
      <c r="E147" s="2154"/>
      <c r="F147" s="3125"/>
      <c r="G147" s="3126"/>
      <c r="H147" s="3127"/>
      <c r="I147" s="939"/>
      <c r="J147" s="939"/>
      <c r="K147" s="939"/>
      <c r="L147" s="939"/>
      <c r="M147" s="939"/>
      <c r="N147" s="939"/>
      <c r="O147" s="939"/>
      <c r="P147" s="939"/>
      <c r="Q147" s="939"/>
      <c r="R147" s="939"/>
      <c r="S147" s="939"/>
      <c r="T147" s="939"/>
      <c r="U147" s="939"/>
      <c r="V147" s="939"/>
      <c r="W147" s="939"/>
      <c r="X147" s="939"/>
    </row>
    <row r="148" spans="1:24" ht="16">
      <c r="A148" s="1290"/>
      <c r="B148" s="3195" t="s">
        <v>1057</v>
      </c>
      <c r="C148" s="3195"/>
      <c r="D148" s="3196"/>
      <c r="E148" s="2154"/>
      <c r="F148" s="3125"/>
      <c r="G148" s="3126"/>
      <c r="H148" s="3127"/>
      <c r="I148" s="939"/>
      <c r="J148" s="939"/>
      <c r="K148" s="939"/>
      <c r="L148" s="939"/>
      <c r="M148" s="939"/>
      <c r="N148" s="939"/>
      <c r="O148" s="939"/>
      <c r="P148" s="939"/>
      <c r="Q148" s="939"/>
      <c r="R148" s="939"/>
      <c r="S148" s="939"/>
      <c r="T148" s="939"/>
      <c r="U148" s="939"/>
      <c r="V148" s="939"/>
      <c r="W148" s="939"/>
      <c r="X148" s="939"/>
    </row>
    <row r="149" spans="1:24" ht="16">
      <c r="A149" s="1290"/>
      <c r="B149" s="3197"/>
      <c r="C149" s="3197"/>
      <c r="D149" s="3198"/>
      <c r="E149" s="2154"/>
      <c r="F149" s="3125"/>
      <c r="G149" s="3126"/>
      <c r="H149" s="3127"/>
      <c r="I149" s="939"/>
      <c r="J149" s="939"/>
      <c r="K149" s="939"/>
      <c r="L149" s="939"/>
      <c r="M149" s="939"/>
      <c r="N149" s="939"/>
      <c r="O149" s="939"/>
      <c r="P149" s="939"/>
      <c r="Q149" s="939"/>
      <c r="R149" s="939"/>
      <c r="S149" s="939"/>
      <c r="T149" s="939"/>
      <c r="U149" s="939"/>
      <c r="V149" s="939"/>
      <c r="W149" s="939"/>
      <c r="X149" s="939"/>
    </row>
    <row r="150" spans="1:24" ht="17" thickBot="1">
      <c r="A150" s="1290"/>
      <c r="B150" s="3154"/>
      <c r="C150" s="3154"/>
      <c r="D150" s="3155"/>
      <c r="E150" s="2154"/>
      <c r="F150" s="3128"/>
      <c r="G150" s="3129"/>
      <c r="H150" s="3130"/>
      <c r="I150" s="939"/>
      <c r="J150" s="939"/>
      <c r="K150" s="939"/>
      <c r="L150" s="939"/>
      <c r="M150" s="939"/>
      <c r="N150" s="939"/>
      <c r="O150" s="939"/>
      <c r="P150" s="939"/>
      <c r="Q150" s="939"/>
      <c r="R150" s="939"/>
      <c r="S150" s="939"/>
      <c r="T150" s="939"/>
      <c r="U150" s="939"/>
      <c r="V150" s="939"/>
      <c r="W150" s="939"/>
      <c r="X150" s="939"/>
    </row>
    <row r="151" spans="1:24" ht="16">
      <c r="A151" s="1922"/>
      <c r="B151" s="1939" t="s">
        <v>961</v>
      </c>
      <c r="C151" s="1939"/>
      <c r="D151" s="1940"/>
      <c r="E151" s="1941">
        <f>SUM(E147:E150)</f>
        <v>0</v>
      </c>
      <c r="F151" s="3131">
        <f t="shared" ref="F151" si="11">SUM(F147:F150)</f>
        <v>0</v>
      </c>
      <c r="G151" s="3131"/>
      <c r="H151" s="3131"/>
      <c r="I151" s="939"/>
      <c r="J151" s="939"/>
      <c r="K151" s="939"/>
      <c r="L151" s="939"/>
      <c r="M151" s="939"/>
      <c r="N151" s="939"/>
      <c r="O151" s="939"/>
      <c r="P151" s="939"/>
      <c r="Q151" s="939"/>
      <c r="R151" s="939"/>
      <c r="S151" s="939"/>
      <c r="T151" s="939"/>
      <c r="U151" s="939"/>
      <c r="V151" s="939"/>
      <c r="W151" s="939"/>
      <c r="X151" s="939"/>
    </row>
    <row r="152" spans="1:24" ht="37" customHeight="1">
      <c r="A152" s="1922"/>
      <c r="B152" s="3210" t="s">
        <v>1305</v>
      </c>
      <c r="C152" s="3210"/>
      <c r="D152" s="3211"/>
      <c r="E152" s="1007"/>
      <c r="F152" s="3132">
        <f>E91+E102+E112+E119+E131+E144+E151+E137</f>
        <v>0</v>
      </c>
      <c r="G152" s="3132"/>
      <c r="H152" s="3132"/>
      <c r="I152" s="939"/>
      <c r="J152" s="939"/>
      <c r="K152" s="939"/>
      <c r="L152" s="939"/>
      <c r="M152" s="939"/>
      <c r="N152" s="939"/>
      <c r="O152" s="939"/>
      <c r="P152" s="939"/>
      <c r="Q152" s="939"/>
      <c r="R152" s="939"/>
      <c r="S152" s="939"/>
      <c r="T152" s="939"/>
      <c r="U152" s="939"/>
      <c r="V152" s="939"/>
      <c r="W152" s="939"/>
      <c r="X152" s="939"/>
    </row>
    <row r="153" spans="1:24" ht="22" customHeight="1" thickBot="1">
      <c r="A153" s="1922"/>
      <c r="B153" s="3199" t="s">
        <v>1327</v>
      </c>
      <c r="C153" s="3200"/>
      <c r="D153" s="3200"/>
      <c r="E153" s="3200"/>
      <c r="F153" s="3133">
        <f>S20+T20+S28+S36+S56+T56+S64+S72-E80-F152</f>
        <v>0</v>
      </c>
      <c r="G153" s="3133"/>
      <c r="H153" s="3132"/>
      <c r="I153" s="939"/>
      <c r="J153" s="939"/>
      <c r="K153" s="939"/>
      <c r="L153" s="939"/>
      <c r="M153" s="939"/>
      <c r="N153" s="939"/>
      <c r="O153" s="939"/>
      <c r="P153" s="939"/>
      <c r="Q153" s="939"/>
      <c r="R153" s="939"/>
      <c r="S153" s="939"/>
      <c r="T153" s="939"/>
      <c r="U153" s="939"/>
      <c r="V153" s="939"/>
      <c r="W153" s="939"/>
      <c r="X153" s="939"/>
    </row>
    <row r="154" spans="1:24" ht="16">
      <c r="A154" s="1926" t="str">
        <f>A146</f>
        <v>Kto. nr.</v>
      </c>
      <c r="B154" s="3208" t="s">
        <v>281</v>
      </c>
      <c r="C154" s="3208"/>
      <c r="D154" s="3218"/>
      <c r="E154" s="1937">
        <f>budgetår</f>
        <v>2024</v>
      </c>
      <c r="F154" s="3106"/>
      <c r="G154" s="3101"/>
      <c r="H154" s="3102"/>
      <c r="I154" s="939"/>
      <c r="J154" s="939"/>
      <c r="K154" s="939"/>
      <c r="L154" s="939"/>
      <c r="M154" s="939"/>
      <c r="N154" s="939"/>
      <c r="O154" s="939"/>
      <c r="P154" s="939"/>
      <c r="Q154" s="939"/>
      <c r="R154" s="939"/>
      <c r="S154" s="939"/>
      <c r="T154" s="939"/>
      <c r="U154" s="939"/>
      <c r="V154" s="939"/>
      <c r="W154" s="939"/>
      <c r="X154" s="939"/>
    </row>
    <row r="155" spans="1:24" ht="16">
      <c r="A155" s="1928"/>
      <c r="B155" s="3208" t="s">
        <v>1058</v>
      </c>
      <c r="C155" s="3208"/>
      <c r="D155" s="3208"/>
      <c r="E155" s="1942">
        <f>Ejendom!I9</f>
        <v>0</v>
      </c>
      <c r="F155" s="3106"/>
      <c r="G155" s="3101"/>
      <c r="H155" s="3102"/>
      <c r="I155" s="939"/>
      <c r="J155" s="939"/>
      <c r="K155" s="939"/>
      <c r="L155" s="939"/>
      <c r="M155" s="939"/>
      <c r="N155" s="939"/>
      <c r="O155" s="939"/>
      <c r="P155" s="939"/>
      <c r="Q155" s="939"/>
      <c r="R155" s="939"/>
      <c r="S155" s="939"/>
      <c r="T155" s="939"/>
      <c r="U155" s="939"/>
      <c r="V155" s="939"/>
      <c r="W155" s="939"/>
      <c r="X155" s="939"/>
    </row>
    <row r="156" spans="1:24" ht="16">
      <c r="A156" s="1928"/>
      <c r="B156" s="3091" t="s">
        <v>995</v>
      </c>
      <c r="C156" s="3091"/>
      <c r="D156" s="3092"/>
      <c r="E156" s="1943">
        <f>Ejendom!I97</f>
        <v>0</v>
      </c>
      <c r="F156" s="3106"/>
      <c r="G156" s="3101"/>
      <c r="H156" s="3102"/>
      <c r="I156" s="939"/>
      <c r="J156" s="939"/>
      <c r="K156" s="939"/>
      <c r="L156" s="939"/>
      <c r="M156" s="939"/>
      <c r="N156" s="939"/>
      <c r="O156" s="939"/>
      <c r="P156" s="939"/>
      <c r="Q156" s="939"/>
      <c r="R156" s="939"/>
      <c r="S156" s="939"/>
      <c r="T156" s="939"/>
      <c r="U156" s="939"/>
      <c r="V156" s="939"/>
      <c r="W156" s="939"/>
      <c r="X156" s="939"/>
    </row>
    <row r="157" spans="1:24" ht="17" thickBot="1">
      <c r="A157" s="1944"/>
      <c r="B157" s="3093" t="s">
        <v>1025</v>
      </c>
      <c r="C157" s="3093"/>
      <c r="D157" s="3094"/>
      <c r="E157" s="1945">
        <f>Administration!I122</f>
        <v>0</v>
      </c>
      <c r="F157" s="3107"/>
      <c r="G157" s="3108"/>
      <c r="H157" s="3109"/>
      <c r="I157" s="939"/>
      <c r="J157" s="939"/>
      <c r="K157" s="939"/>
      <c r="L157" s="939"/>
      <c r="M157" s="939"/>
      <c r="N157" s="939"/>
      <c r="O157" s="939"/>
      <c r="P157" s="939"/>
      <c r="Q157" s="939"/>
      <c r="R157" s="939"/>
      <c r="S157" s="939"/>
      <c r="T157" s="939"/>
      <c r="U157" s="939"/>
      <c r="V157" s="939"/>
      <c r="W157" s="939"/>
      <c r="X157" s="939"/>
    </row>
    <row r="158" spans="1:24" ht="17" thickBot="1">
      <c r="A158" s="1938"/>
      <c r="B158" s="1923" t="s">
        <v>1029</v>
      </c>
      <c r="C158" s="1923"/>
      <c r="D158" s="1923"/>
      <c r="E158" s="1931"/>
      <c r="F158" s="3111">
        <f>SUM(E155:E157)</f>
        <v>0</v>
      </c>
      <c r="G158" s="3112"/>
      <c r="H158" s="3113"/>
      <c r="I158" s="939"/>
      <c r="J158" s="939"/>
      <c r="K158" s="939"/>
      <c r="L158" s="939"/>
      <c r="M158" s="939"/>
      <c r="N158" s="939"/>
      <c r="O158" s="939"/>
      <c r="P158" s="939"/>
      <c r="Q158" s="939"/>
      <c r="R158" s="939"/>
      <c r="S158" s="939"/>
      <c r="T158" s="939"/>
      <c r="U158" s="939"/>
      <c r="V158" s="939"/>
      <c r="W158" s="939"/>
      <c r="X158" s="939"/>
    </row>
    <row r="159" spans="1:24" ht="17" thickBot="1">
      <c r="A159" s="3095"/>
      <c r="B159" s="3096"/>
      <c r="C159" s="3096"/>
      <c r="D159" s="3096"/>
      <c r="E159" s="3096"/>
      <c r="F159" s="3096"/>
      <c r="G159" s="3096"/>
      <c r="H159" s="3096"/>
      <c r="I159" s="939"/>
      <c r="J159" s="939"/>
      <c r="K159" s="939"/>
      <c r="L159" s="939"/>
      <c r="M159" s="939"/>
      <c r="N159" s="939"/>
      <c r="O159" s="939"/>
      <c r="P159" s="939"/>
      <c r="Q159" s="939"/>
      <c r="R159" s="939"/>
      <c r="S159" s="939"/>
      <c r="T159" s="939"/>
      <c r="U159" s="939"/>
      <c r="V159" s="939"/>
      <c r="W159" s="939"/>
      <c r="X159" s="939"/>
    </row>
    <row r="160" spans="1:24" ht="16">
      <c r="A160" s="1288" t="str">
        <f>A146</f>
        <v>Kto. nr.</v>
      </c>
      <c r="B160" s="3117" t="s">
        <v>63</v>
      </c>
      <c r="C160" s="3117"/>
      <c r="D160" s="3118"/>
      <c r="E160" s="1291">
        <f>budgetår</f>
        <v>2024</v>
      </c>
      <c r="F160" s="3097"/>
      <c r="G160" s="3098"/>
      <c r="H160" s="3099"/>
      <c r="I160" s="939"/>
      <c r="J160" s="939"/>
      <c r="K160" s="939"/>
      <c r="L160" s="939"/>
      <c r="M160" s="939"/>
      <c r="N160" s="939"/>
      <c r="O160" s="939"/>
      <c r="P160" s="939"/>
      <c r="Q160" s="939"/>
      <c r="R160" s="939"/>
      <c r="S160" s="939"/>
      <c r="T160" s="939"/>
      <c r="U160" s="939"/>
      <c r="V160" s="939"/>
      <c r="W160" s="939"/>
      <c r="X160" s="939"/>
    </row>
    <row r="161" spans="1:35" ht="16">
      <c r="A161" s="1292"/>
      <c r="B161" s="3115" t="s">
        <v>1151</v>
      </c>
      <c r="C161" s="3115"/>
      <c r="D161" s="3116"/>
      <c r="E161" s="1293">
        <f>SUM(Administration!I129:I132)</f>
        <v>0</v>
      </c>
      <c r="F161" s="3106"/>
      <c r="G161" s="3101"/>
      <c r="H161" s="3102"/>
      <c r="I161" s="939"/>
      <c r="J161" s="939"/>
      <c r="K161" s="939"/>
      <c r="L161" s="939"/>
      <c r="M161" s="939"/>
      <c r="N161" s="939"/>
      <c r="O161" s="939"/>
      <c r="P161" s="939"/>
      <c r="Q161" s="939"/>
      <c r="R161" s="939"/>
      <c r="S161" s="939"/>
      <c r="T161" s="939"/>
      <c r="U161" s="939"/>
      <c r="V161" s="939"/>
      <c r="W161" s="939"/>
      <c r="X161" s="939"/>
    </row>
    <row r="162" spans="1:35" ht="16">
      <c r="A162" s="1292"/>
      <c r="B162" s="3115" t="s">
        <v>1154</v>
      </c>
      <c r="C162" s="3115"/>
      <c r="D162" s="3116"/>
      <c r="E162" s="1293">
        <f>Administration!I139</f>
        <v>0</v>
      </c>
      <c r="F162" s="3106"/>
      <c r="G162" s="3101"/>
      <c r="H162" s="3102"/>
      <c r="I162" s="939"/>
      <c r="J162" s="939"/>
      <c r="K162" s="939"/>
      <c r="L162" s="939"/>
      <c r="M162" s="939"/>
      <c r="N162" s="939"/>
      <c r="O162" s="939"/>
      <c r="P162" s="939"/>
      <c r="Q162" s="939"/>
      <c r="R162" s="939"/>
      <c r="S162" s="939"/>
      <c r="T162" s="939"/>
      <c r="U162" s="939"/>
      <c r="V162" s="939"/>
      <c r="W162" s="939"/>
      <c r="X162" s="939"/>
    </row>
    <row r="163" spans="1:35" ht="16">
      <c r="A163" s="1292"/>
      <c r="B163" s="3115" t="s">
        <v>1155</v>
      </c>
      <c r="C163" s="3115"/>
      <c r="D163" s="3116"/>
      <c r="E163" s="1294">
        <f>Administration!I151</f>
        <v>0</v>
      </c>
      <c r="F163" s="3106"/>
      <c r="G163" s="3101"/>
      <c r="H163" s="3102"/>
      <c r="I163" s="939"/>
      <c r="J163" s="939"/>
      <c r="K163" s="939"/>
      <c r="L163" s="939"/>
      <c r="M163" s="939"/>
      <c r="N163" s="939"/>
      <c r="O163" s="939"/>
      <c r="P163" s="939"/>
      <c r="Q163" s="939"/>
      <c r="R163" s="939"/>
      <c r="S163" s="939"/>
      <c r="T163" s="939"/>
      <c r="U163" s="939"/>
      <c r="V163" s="939"/>
      <c r="W163" s="939"/>
      <c r="X163" s="939"/>
    </row>
    <row r="164" spans="1:35" ht="17" thickBot="1">
      <c r="A164" s="1286"/>
      <c r="B164" s="1295" t="s">
        <v>174</v>
      </c>
      <c r="C164" s="1295"/>
      <c r="D164" s="1295"/>
      <c r="E164" s="1296"/>
      <c r="F164" s="3114">
        <f>SUM(E161:E163)</f>
        <v>0</v>
      </c>
      <c r="G164" s="3104"/>
      <c r="H164" s="3105"/>
      <c r="I164" s="939"/>
      <c r="J164" s="939"/>
      <c r="K164" s="939"/>
      <c r="L164" s="939"/>
      <c r="M164" s="939"/>
      <c r="N164" s="939"/>
      <c r="O164" s="939"/>
      <c r="P164" s="939"/>
      <c r="Q164" s="939"/>
      <c r="R164" s="939"/>
      <c r="S164" s="939"/>
      <c r="T164" s="939"/>
      <c r="U164" s="939"/>
      <c r="V164" s="939"/>
      <c r="W164" s="939"/>
      <c r="X164" s="939"/>
    </row>
    <row r="165" spans="1:35" ht="17" thickBot="1">
      <c r="A165" s="3095"/>
      <c r="B165" s="3096"/>
      <c r="C165" s="3096"/>
      <c r="D165" s="3096"/>
      <c r="E165" s="3096"/>
      <c r="F165" s="3096"/>
      <c r="G165" s="3096"/>
      <c r="H165" s="3096"/>
      <c r="I165" s="939"/>
      <c r="J165" s="939"/>
      <c r="K165" s="939"/>
      <c r="L165" s="939"/>
      <c r="M165" s="939"/>
      <c r="N165" s="939"/>
      <c r="O165" s="939"/>
      <c r="P165" s="939"/>
      <c r="Q165" s="939"/>
      <c r="R165" s="939"/>
      <c r="S165" s="939"/>
      <c r="T165" s="939"/>
      <c r="U165" s="939"/>
      <c r="V165" s="939"/>
      <c r="W165" s="939"/>
      <c r="X165" s="939"/>
    </row>
    <row r="166" spans="1:35" ht="16">
      <c r="A166" s="1288" t="str">
        <f>A160</f>
        <v>Kto. nr.</v>
      </c>
      <c r="B166" s="3117" t="s">
        <v>1030</v>
      </c>
      <c r="C166" s="3117"/>
      <c r="D166" s="3118"/>
      <c r="E166" s="1297">
        <f>budgetår</f>
        <v>2024</v>
      </c>
      <c r="F166" s="3097"/>
      <c r="G166" s="3098"/>
      <c r="H166" s="3099"/>
      <c r="I166" s="939"/>
      <c r="J166" s="939"/>
      <c r="K166" s="939"/>
      <c r="L166" s="939"/>
      <c r="M166" s="939"/>
      <c r="N166" s="939"/>
      <c r="O166" s="939"/>
      <c r="P166" s="939"/>
      <c r="Q166" s="939"/>
      <c r="R166" s="939"/>
      <c r="S166" s="939"/>
      <c r="T166" s="939"/>
      <c r="U166" s="939"/>
      <c r="V166" s="939"/>
      <c r="W166" s="939"/>
      <c r="X166" s="939"/>
    </row>
    <row r="167" spans="1:35" ht="34" customHeight="1">
      <c r="A167" s="1298"/>
      <c r="B167" s="3120" t="s">
        <v>1156</v>
      </c>
      <c r="C167" s="3120"/>
      <c r="D167" s="3121"/>
      <c r="E167" s="1299"/>
      <c r="F167" s="3100"/>
      <c r="G167" s="3101"/>
      <c r="H167" s="3102"/>
      <c r="I167" s="939"/>
      <c r="J167" s="939"/>
      <c r="K167" s="939"/>
      <c r="L167" s="939"/>
      <c r="M167" s="939"/>
      <c r="N167" s="939"/>
      <c r="O167" s="939"/>
      <c r="P167" s="939"/>
      <c r="Q167" s="939"/>
      <c r="R167" s="939"/>
      <c r="S167" s="939"/>
      <c r="T167" s="939"/>
      <c r="U167" s="939"/>
      <c r="V167" s="939"/>
      <c r="W167" s="939"/>
      <c r="X167" s="939"/>
    </row>
    <row r="168" spans="1:35" ht="32" customHeight="1">
      <c r="A168" s="1298"/>
      <c r="B168" s="3119" t="s">
        <v>1311</v>
      </c>
      <c r="C168" s="3120"/>
      <c r="D168" s="3121"/>
      <c r="E168" s="1008"/>
      <c r="F168" s="3100"/>
      <c r="G168" s="3101"/>
      <c r="H168" s="3102"/>
      <c r="I168" s="939"/>
      <c r="J168" s="939"/>
      <c r="K168" s="939"/>
      <c r="L168" s="939"/>
      <c r="M168" s="939"/>
      <c r="N168" s="939"/>
      <c r="O168" s="939"/>
      <c r="P168" s="939"/>
      <c r="Q168" s="939"/>
      <c r="R168" s="939"/>
      <c r="S168" s="939"/>
      <c r="T168" s="939"/>
      <c r="U168" s="939"/>
      <c r="V168" s="939"/>
      <c r="W168" s="939"/>
      <c r="X168" s="939"/>
    </row>
    <row r="169" spans="1:35" ht="31" customHeight="1">
      <c r="A169" s="1298"/>
      <c r="B169" s="3119" t="s">
        <v>1157</v>
      </c>
      <c r="C169" s="3120"/>
      <c r="D169" s="3121"/>
      <c r="E169" s="1285"/>
      <c r="F169" s="3100"/>
      <c r="G169" s="3101"/>
      <c r="H169" s="3102"/>
      <c r="I169" s="939"/>
      <c r="J169" s="939"/>
      <c r="K169" s="939"/>
      <c r="L169" s="939"/>
      <c r="M169" s="939"/>
      <c r="N169" s="939"/>
      <c r="O169" s="939"/>
      <c r="P169" s="939"/>
      <c r="Q169" s="939"/>
      <c r="R169" s="939"/>
      <c r="S169" s="939"/>
      <c r="T169" s="939"/>
      <c r="U169" s="939"/>
      <c r="V169" s="939"/>
      <c r="W169" s="939"/>
      <c r="X169" s="939"/>
    </row>
    <row r="170" spans="1:35" ht="17" thickBot="1">
      <c r="A170" s="1286"/>
      <c r="B170" s="1295" t="s">
        <v>77</v>
      </c>
      <c r="C170" s="1295"/>
      <c r="D170" s="1296"/>
      <c r="E170" s="1300"/>
      <c r="F170" s="3103">
        <f>SUM(E167:E169)</f>
        <v>0</v>
      </c>
      <c r="G170" s="3104"/>
      <c r="H170" s="3105"/>
      <c r="I170" s="939"/>
      <c r="J170" s="939"/>
      <c r="K170" s="939"/>
      <c r="L170" s="939"/>
      <c r="M170" s="939"/>
      <c r="N170" s="939"/>
      <c r="O170" s="939"/>
      <c r="P170" s="939"/>
      <c r="Q170" s="939"/>
      <c r="R170" s="939"/>
      <c r="S170" s="939"/>
      <c r="T170" s="939"/>
      <c r="U170" s="939"/>
      <c r="V170" s="939"/>
      <c r="W170" s="939"/>
      <c r="X170" s="939"/>
    </row>
    <row r="171" spans="1:35" ht="17" thickBot="1">
      <c r="A171" s="3110"/>
      <c r="B171" s="3096"/>
      <c r="C171" s="3096"/>
      <c r="D171" s="3096"/>
      <c r="E171" s="3096"/>
      <c r="F171" s="3096"/>
      <c r="G171" s="3096"/>
      <c r="H171" s="3096"/>
      <c r="I171" s="939"/>
      <c r="J171" s="939"/>
      <c r="K171" s="939"/>
      <c r="L171" s="939"/>
      <c r="M171" s="939"/>
      <c r="N171" s="939"/>
      <c r="O171" s="939"/>
      <c r="P171" s="939"/>
      <c r="Q171" s="939"/>
      <c r="R171" s="939"/>
      <c r="S171" s="939"/>
      <c r="T171" s="939"/>
      <c r="U171" s="939"/>
      <c r="V171" s="939"/>
      <c r="W171" s="939"/>
      <c r="X171" s="939"/>
    </row>
    <row r="172" spans="1:35" ht="16">
      <c r="A172" s="1920"/>
      <c r="B172" s="305" t="s">
        <v>121</v>
      </c>
      <c r="C172" s="305"/>
      <c r="D172" s="305"/>
      <c r="E172" s="1921">
        <f>F170+F164+F158+F152+E80</f>
        <v>0</v>
      </c>
      <c r="F172" s="3067"/>
      <c r="G172" s="3067"/>
      <c r="H172" s="3068"/>
      <c r="I172" s="939"/>
      <c r="J172" s="939"/>
      <c r="K172" s="939"/>
      <c r="L172" s="939"/>
      <c r="M172" s="939"/>
      <c r="N172" s="939"/>
      <c r="O172" s="939"/>
      <c r="P172" s="939"/>
      <c r="Q172" s="939"/>
      <c r="R172" s="939"/>
      <c r="S172" s="939"/>
      <c r="T172" s="939"/>
      <c r="U172" s="939"/>
      <c r="V172" s="939"/>
      <c r="W172" s="939"/>
      <c r="X172" s="939"/>
    </row>
    <row r="173" spans="1:35" ht="17" thickBot="1">
      <c r="A173" s="1922"/>
      <c r="B173" s="1923" t="s">
        <v>815</v>
      </c>
      <c r="C173" s="1923"/>
      <c r="D173" s="1924"/>
      <c r="E173" s="1925">
        <f>S20+T20+S36+S56+T56+S64+S72-E172+S28</f>
        <v>0</v>
      </c>
      <c r="F173" s="3069"/>
      <c r="G173" s="3069"/>
      <c r="H173" s="3070"/>
      <c r="I173" s="939"/>
      <c r="J173" s="939"/>
      <c r="K173" s="939"/>
      <c r="L173" s="939"/>
      <c r="M173" s="939"/>
      <c r="N173" s="939"/>
      <c r="O173" s="939"/>
      <c r="P173" s="939"/>
      <c r="Q173" s="939"/>
      <c r="R173" s="939"/>
      <c r="S173" s="939"/>
      <c r="T173" s="939"/>
      <c r="U173" s="939"/>
      <c r="V173" s="939"/>
      <c r="W173" s="939"/>
      <c r="X173" s="939"/>
    </row>
    <row r="174" spans="1:35" ht="17" thickBot="1">
      <c r="A174" s="1946"/>
      <c r="B174" s="1947" t="str">
        <f>"Ændring i "&amp;E166+1&amp;" i forhold til "&amp;E166&amp;" i alt:"</f>
        <v>Ændring i 2025 i forhold til 2024 i alt:</v>
      </c>
      <c r="C174" s="1947"/>
      <c r="D174" s="1947"/>
      <c r="E174" s="1947"/>
      <c r="F174" s="3222">
        <f>SUM(F84:H90)+SUM(F94:H101)+SUM(F105:H111)+SUM(F115:H118)+SUM(F122:H130)+SUM(F134:H136)+SUM(F140:H143)+SUM(F147:H150)</f>
        <v>0</v>
      </c>
      <c r="G174" s="3223"/>
      <c r="H174" s="3224"/>
      <c r="I174" s="939"/>
      <c r="J174" s="939"/>
      <c r="K174" s="939"/>
      <c r="L174" s="939"/>
      <c r="M174" s="939"/>
      <c r="N174" s="939"/>
      <c r="O174" s="939"/>
      <c r="P174" s="939"/>
      <c r="Q174" s="939"/>
      <c r="R174" s="939"/>
      <c r="S174" s="939"/>
      <c r="T174" s="939"/>
      <c r="U174" s="939"/>
      <c r="V174" s="939"/>
      <c r="W174" s="939"/>
      <c r="X174" s="939"/>
      <c r="Y174" s="939"/>
      <c r="Z174" s="939"/>
      <c r="AA174" s="939"/>
      <c r="AB174" s="939"/>
      <c r="AC174" s="939"/>
      <c r="AD174" s="939"/>
      <c r="AE174" s="939"/>
      <c r="AF174" s="939"/>
      <c r="AG174" s="939"/>
      <c r="AH174" s="939"/>
      <c r="AI174" s="939"/>
    </row>
    <row r="175" spans="1:35" ht="16">
      <c r="A175" s="939"/>
      <c r="B175" s="939"/>
      <c r="C175" s="939"/>
      <c r="D175" s="939"/>
      <c r="E175" s="939"/>
      <c r="F175" s="939"/>
      <c r="G175" s="939"/>
      <c r="H175" s="939"/>
      <c r="I175" s="939"/>
      <c r="J175" s="939"/>
      <c r="K175" s="939"/>
      <c r="L175" s="939"/>
      <c r="M175" s="939"/>
      <c r="N175" s="939"/>
      <c r="O175" s="939"/>
      <c r="P175" s="939"/>
      <c r="Q175" s="939"/>
      <c r="R175" s="939"/>
      <c r="S175" s="939"/>
      <c r="T175" s="939"/>
      <c r="U175" s="939"/>
      <c r="V175" s="939"/>
      <c r="W175" s="939"/>
      <c r="X175" s="939"/>
      <c r="Y175" s="939"/>
      <c r="Z175" s="939"/>
      <c r="AA175" s="939"/>
      <c r="AB175" s="939"/>
      <c r="AC175" s="939"/>
      <c r="AD175" s="939"/>
      <c r="AE175" s="939"/>
      <c r="AF175" s="939"/>
      <c r="AG175" s="939"/>
      <c r="AH175" s="939"/>
      <c r="AI175" s="939"/>
    </row>
    <row r="176" spans="1:35" ht="16">
      <c r="A176" s="939"/>
      <c r="B176" s="939"/>
      <c r="C176" s="939"/>
      <c r="D176" s="939"/>
      <c r="E176" s="939"/>
      <c r="F176" s="939"/>
      <c r="G176" s="939"/>
      <c r="H176" s="939"/>
      <c r="I176" s="939"/>
      <c r="J176" s="939"/>
      <c r="K176" s="939"/>
      <c r="L176" s="939"/>
      <c r="M176" s="939"/>
      <c r="N176" s="939"/>
      <c r="O176" s="939"/>
      <c r="P176" s="939"/>
      <c r="Q176" s="939"/>
      <c r="R176" s="939"/>
      <c r="S176" s="939"/>
      <c r="T176" s="939"/>
      <c r="U176" s="939"/>
      <c r="V176" s="939"/>
      <c r="W176" s="939"/>
      <c r="X176" s="939"/>
      <c r="Y176" s="939"/>
      <c r="Z176" s="939"/>
      <c r="AA176" s="939"/>
      <c r="AB176" s="939"/>
      <c r="AC176" s="939"/>
      <c r="AD176" s="939"/>
      <c r="AE176" s="939"/>
      <c r="AF176" s="939"/>
      <c r="AG176" s="939"/>
      <c r="AH176" s="939"/>
      <c r="AI176" s="939"/>
    </row>
    <row r="177" spans="1:35" ht="16">
      <c r="A177" s="939"/>
      <c r="B177" s="939"/>
      <c r="C177" s="939"/>
      <c r="D177" s="939"/>
      <c r="E177" s="939"/>
      <c r="F177" s="939"/>
      <c r="G177" s="939"/>
      <c r="H177" s="939"/>
      <c r="I177" s="939"/>
      <c r="J177" s="939"/>
      <c r="K177" s="939"/>
      <c r="L177" s="939"/>
      <c r="M177" s="939"/>
      <c r="N177" s="939"/>
      <c r="O177" s="939"/>
      <c r="P177" s="939"/>
      <c r="Q177" s="939"/>
      <c r="R177" s="939"/>
      <c r="S177" s="939"/>
      <c r="T177" s="939"/>
      <c r="U177" s="939"/>
      <c r="V177" s="939"/>
      <c r="W177" s="939"/>
      <c r="X177" s="939"/>
      <c r="Y177" s="939"/>
      <c r="Z177" s="939"/>
      <c r="AA177" s="939"/>
      <c r="AB177" s="939"/>
      <c r="AC177" s="939"/>
      <c r="AD177" s="939"/>
      <c r="AE177" s="939"/>
      <c r="AF177" s="939"/>
      <c r="AG177" s="939"/>
      <c r="AH177" s="939"/>
      <c r="AI177" s="939"/>
    </row>
    <row r="178" spans="1:35" ht="16">
      <c r="A178" s="939"/>
      <c r="B178" s="939"/>
      <c r="C178" s="939"/>
      <c r="D178" s="939"/>
      <c r="E178" s="939"/>
      <c r="F178" s="939"/>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row>
    <row r="179" spans="1:35" ht="16">
      <c r="A179" s="939"/>
      <c r="B179" s="939"/>
      <c r="C179" s="939"/>
      <c r="D179" s="939"/>
      <c r="E179" s="939"/>
      <c r="F179" s="939"/>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row>
    <row r="180" spans="1:35" ht="16">
      <c r="A180" s="939"/>
      <c r="B180" s="939"/>
      <c r="C180" s="939"/>
      <c r="D180" s="939"/>
      <c r="E180" s="939"/>
      <c r="F180" s="939"/>
      <c r="G180" s="939"/>
      <c r="H180" s="939"/>
      <c r="I180" s="939"/>
      <c r="J180" s="939"/>
      <c r="K180" s="939"/>
      <c r="L180" s="939"/>
      <c r="M180" s="939"/>
      <c r="N180" s="939"/>
      <c r="O180" s="939"/>
      <c r="P180" s="939"/>
      <c r="Q180" s="939"/>
      <c r="R180" s="939"/>
      <c r="S180" s="939"/>
      <c r="T180" s="939"/>
      <c r="U180" s="939"/>
      <c r="V180" s="939"/>
      <c r="W180" s="939"/>
      <c r="X180" s="939"/>
      <c r="Y180" s="939"/>
      <c r="Z180" s="939"/>
      <c r="AA180" s="939"/>
      <c r="AB180" s="939"/>
      <c r="AC180" s="939"/>
      <c r="AD180" s="939"/>
      <c r="AE180" s="939"/>
      <c r="AF180" s="939"/>
      <c r="AG180" s="939"/>
      <c r="AH180" s="939"/>
      <c r="AI180" s="939"/>
    </row>
    <row r="181" spans="1:35" ht="16">
      <c r="A181" s="939"/>
      <c r="B181" s="939"/>
      <c r="C181" s="939"/>
      <c r="D181" s="939"/>
      <c r="E181" s="939"/>
      <c r="F181" s="939"/>
      <c r="G181" s="939"/>
      <c r="H181" s="939"/>
      <c r="I181" s="939"/>
      <c r="J181" s="939"/>
      <c r="K181" s="939"/>
      <c r="L181" s="939"/>
      <c r="M181" s="939"/>
      <c r="N181" s="939"/>
      <c r="O181" s="939"/>
      <c r="P181" s="939"/>
      <c r="Q181" s="939"/>
      <c r="R181" s="939"/>
      <c r="S181" s="939"/>
      <c r="T181" s="939"/>
      <c r="U181" s="939"/>
      <c r="V181" s="939"/>
      <c r="W181" s="939"/>
      <c r="X181" s="939"/>
      <c r="Y181" s="939"/>
      <c r="Z181" s="939"/>
      <c r="AA181" s="939"/>
      <c r="AB181" s="939"/>
      <c r="AC181" s="939"/>
      <c r="AD181" s="939"/>
      <c r="AE181" s="939"/>
      <c r="AF181" s="939"/>
      <c r="AG181" s="939"/>
      <c r="AH181" s="939"/>
      <c r="AI181" s="939"/>
    </row>
    <row r="182" spans="1:35" ht="16">
      <c r="A182" s="939"/>
      <c r="B182" s="939"/>
      <c r="C182" s="939"/>
      <c r="D182" s="939"/>
      <c r="E182" s="939"/>
      <c r="F182" s="939"/>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row>
    <row r="183" spans="1:35" ht="16">
      <c r="A183" s="939"/>
      <c r="B183" s="939"/>
      <c r="C183" s="939"/>
      <c r="D183" s="939"/>
      <c r="E183" s="939"/>
      <c r="F183" s="939"/>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row>
    <row r="184" spans="1:35" ht="16">
      <c r="A184" s="939"/>
      <c r="B184" s="939"/>
      <c r="C184" s="939"/>
      <c r="D184" s="939"/>
      <c r="E184" s="939"/>
      <c r="F184" s="939"/>
      <c r="G184" s="939"/>
      <c r="H184" s="939"/>
      <c r="I184" s="939"/>
      <c r="J184" s="939"/>
      <c r="K184" s="939"/>
      <c r="L184" s="939"/>
      <c r="M184" s="939"/>
      <c r="N184" s="939"/>
      <c r="O184" s="939"/>
      <c r="P184" s="939"/>
      <c r="Q184" s="939"/>
      <c r="R184" s="939"/>
      <c r="S184" s="939"/>
      <c r="T184" s="939"/>
      <c r="U184" s="939"/>
      <c r="V184" s="939"/>
      <c r="W184" s="939"/>
      <c r="X184" s="939"/>
      <c r="Y184" s="939"/>
      <c r="Z184" s="939"/>
      <c r="AA184" s="939"/>
      <c r="AB184" s="939"/>
      <c r="AC184" s="939"/>
      <c r="AD184" s="939"/>
      <c r="AE184" s="939"/>
      <c r="AF184" s="939"/>
      <c r="AG184" s="939"/>
      <c r="AH184" s="939"/>
      <c r="AI184" s="939"/>
    </row>
    <row r="185" spans="1:35" ht="16">
      <c r="A185" s="939"/>
      <c r="B185" s="939"/>
      <c r="C185" s="939"/>
      <c r="D185" s="939"/>
      <c r="E185" s="939"/>
      <c r="F185" s="939"/>
      <c r="G185" s="939"/>
      <c r="H185" s="939"/>
      <c r="I185" s="939"/>
      <c r="J185" s="939"/>
      <c r="K185" s="939"/>
      <c r="L185" s="939"/>
      <c r="M185" s="939"/>
      <c r="N185" s="939"/>
      <c r="O185" s="939"/>
      <c r="P185" s="939"/>
      <c r="Q185" s="939"/>
      <c r="R185" s="939"/>
      <c r="S185" s="939"/>
      <c r="T185" s="939"/>
      <c r="U185" s="939"/>
      <c r="V185" s="939"/>
      <c r="W185" s="939"/>
      <c r="X185" s="939"/>
      <c r="Y185" s="939"/>
      <c r="Z185" s="939"/>
      <c r="AA185" s="939"/>
      <c r="AB185" s="939"/>
      <c r="AC185" s="939"/>
      <c r="AD185" s="939"/>
      <c r="AE185" s="939"/>
      <c r="AF185" s="939"/>
      <c r="AG185" s="939"/>
      <c r="AH185" s="939"/>
      <c r="AI185" s="939"/>
    </row>
    <row r="186" spans="1:35" ht="16">
      <c r="A186" s="939"/>
      <c r="B186" s="939"/>
      <c r="C186" s="939"/>
      <c r="D186" s="939"/>
      <c r="E186" s="939"/>
      <c r="F186" s="939"/>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row>
  </sheetData>
  <sheetProtection sheet="1" formatCells="0" formatColumns="0" formatRows="0"/>
  <mergeCells count="245">
    <mergeCell ref="F174:H174"/>
    <mergeCell ref="F78:H78"/>
    <mergeCell ref="F82:H82"/>
    <mergeCell ref="F83:H83"/>
    <mergeCell ref="F84:H84"/>
    <mergeCell ref="F85:H85"/>
    <mergeCell ref="F86:H86"/>
    <mergeCell ref="F87:H87"/>
    <mergeCell ref="F88:H88"/>
    <mergeCell ref="F89:H89"/>
    <mergeCell ref="F90:H90"/>
    <mergeCell ref="F106:H106"/>
    <mergeCell ref="F107:H107"/>
    <mergeCell ref="F108:H108"/>
    <mergeCell ref="F105:H105"/>
    <mergeCell ref="F109:H109"/>
    <mergeCell ref="F110:H110"/>
    <mergeCell ref="F111:H111"/>
    <mergeCell ref="F112:H112"/>
    <mergeCell ref="A113:H113"/>
    <mergeCell ref="A82:E82"/>
    <mergeCell ref="F94:H94"/>
    <mergeCell ref="F95:H95"/>
    <mergeCell ref="B95:D95"/>
    <mergeCell ref="B96:D96"/>
    <mergeCell ref="B93:D93"/>
    <mergeCell ref="F133:H133"/>
    <mergeCell ref="F91:H91"/>
    <mergeCell ref="F93:H93"/>
    <mergeCell ref="B85:D85"/>
    <mergeCell ref="B106:D106"/>
    <mergeCell ref="B107:D107"/>
    <mergeCell ref="B94:D94"/>
    <mergeCell ref="F114:H114"/>
    <mergeCell ref="F115:H115"/>
    <mergeCell ref="F116:H116"/>
    <mergeCell ref="F117:H117"/>
    <mergeCell ref="B88:D88"/>
    <mergeCell ref="A92:H92"/>
    <mergeCell ref="B89:D89"/>
    <mergeCell ref="B90:D90"/>
    <mergeCell ref="F122:H122"/>
    <mergeCell ref="F123:H123"/>
    <mergeCell ref="F124:H124"/>
    <mergeCell ref="F125:H125"/>
    <mergeCell ref="F126:H126"/>
    <mergeCell ref="F129:H129"/>
    <mergeCell ref="F127:H127"/>
    <mergeCell ref="B155:D155"/>
    <mergeCell ref="B104:D104"/>
    <mergeCell ref="B108:D108"/>
    <mergeCell ref="B109:D109"/>
    <mergeCell ref="B152:D152"/>
    <mergeCell ref="B147:D147"/>
    <mergeCell ref="B148:D148"/>
    <mergeCell ref="B149:D149"/>
    <mergeCell ref="B127:D127"/>
    <mergeCell ref="B128:D128"/>
    <mergeCell ref="B124:D124"/>
    <mergeCell ref="B125:D125"/>
    <mergeCell ref="B122:D122"/>
    <mergeCell ref="B123:D123"/>
    <mergeCell ref="B126:D126"/>
    <mergeCell ref="B154:D154"/>
    <mergeCell ref="B134:D134"/>
    <mergeCell ref="B135:D135"/>
    <mergeCell ref="B136:D136"/>
    <mergeCell ref="B110:D110"/>
    <mergeCell ref="B111:D111"/>
    <mergeCell ref="B115:D115"/>
    <mergeCell ref="B116:D116"/>
    <mergeCell ref="B117:D117"/>
    <mergeCell ref="B150:D150"/>
    <mergeCell ref="B141:D141"/>
    <mergeCell ref="B142:D142"/>
    <mergeCell ref="B143:D143"/>
    <mergeCell ref="B153:E153"/>
    <mergeCell ref="B129:D129"/>
    <mergeCell ref="B121:D121"/>
    <mergeCell ref="S61:T61"/>
    <mergeCell ref="S62:T62"/>
    <mergeCell ref="S63:T63"/>
    <mergeCell ref="S64:T64"/>
    <mergeCell ref="A66:T66"/>
    <mergeCell ref="F77:H77"/>
    <mergeCell ref="F79:H79"/>
    <mergeCell ref="F80:H80"/>
    <mergeCell ref="A65:T65"/>
    <mergeCell ref="S67:T67"/>
    <mergeCell ref="S68:T68"/>
    <mergeCell ref="S69:T69"/>
    <mergeCell ref="S70:T70"/>
    <mergeCell ref="S71:T71"/>
    <mergeCell ref="S72:T72"/>
    <mergeCell ref="B77:D77"/>
    <mergeCell ref="A81:F81"/>
    <mergeCell ref="A60:R60"/>
    <mergeCell ref="A61:R61"/>
    <mergeCell ref="A62:R62"/>
    <mergeCell ref="A63:R63"/>
    <mergeCell ref="A64:R64"/>
    <mergeCell ref="A57:T57"/>
    <mergeCell ref="A58:T58"/>
    <mergeCell ref="S59:T59"/>
    <mergeCell ref="S60:T60"/>
    <mergeCell ref="A2:T2"/>
    <mergeCell ref="A5:T5"/>
    <mergeCell ref="A38:T38"/>
    <mergeCell ref="A39:D39"/>
    <mergeCell ref="F39:S39"/>
    <mergeCell ref="C6:E6"/>
    <mergeCell ref="A24:R24"/>
    <mergeCell ref="A25:R25"/>
    <mergeCell ref="A40:D40"/>
    <mergeCell ref="F40:S40"/>
    <mergeCell ref="A29:T29"/>
    <mergeCell ref="A30:T30"/>
    <mergeCell ref="S31:T31"/>
    <mergeCell ref="S32:T32"/>
    <mergeCell ref="S33:T33"/>
    <mergeCell ref="S34:T34"/>
    <mergeCell ref="A3:D3"/>
    <mergeCell ref="A4:D4"/>
    <mergeCell ref="F3:S3"/>
    <mergeCell ref="F4:S4"/>
    <mergeCell ref="S35:T35"/>
    <mergeCell ref="S36:T36"/>
    <mergeCell ref="A35:R35"/>
    <mergeCell ref="A36:R36"/>
    <mergeCell ref="B80:D80"/>
    <mergeCell ref="A67:R67"/>
    <mergeCell ref="A68:R68"/>
    <mergeCell ref="A69:R69"/>
    <mergeCell ref="A70:R70"/>
    <mergeCell ref="A71:R71"/>
    <mergeCell ref="A72:R72"/>
    <mergeCell ref="A75:H75"/>
    <mergeCell ref="F76:H76"/>
    <mergeCell ref="B79:D79"/>
    <mergeCell ref="B76:D76"/>
    <mergeCell ref="B84:D84"/>
    <mergeCell ref="B83:D83"/>
    <mergeCell ref="B86:D86"/>
    <mergeCell ref="B87:D87"/>
    <mergeCell ref="F118:H118"/>
    <mergeCell ref="F119:H119"/>
    <mergeCell ref="A120:H120"/>
    <mergeCell ref="F121:H121"/>
    <mergeCell ref="B118:D118"/>
    <mergeCell ref="F96:H96"/>
    <mergeCell ref="F97:H97"/>
    <mergeCell ref="F104:H104"/>
    <mergeCell ref="B97:D97"/>
    <mergeCell ref="B98:D98"/>
    <mergeCell ref="F98:H98"/>
    <mergeCell ref="F99:H99"/>
    <mergeCell ref="F100:H100"/>
    <mergeCell ref="F101:H101"/>
    <mergeCell ref="F102:H102"/>
    <mergeCell ref="A103:H103"/>
    <mergeCell ref="B99:D99"/>
    <mergeCell ref="B100:D100"/>
    <mergeCell ref="B101:D101"/>
    <mergeCell ref="B105:D105"/>
    <mergeCell ref="F128:H128"/>
    <mergeCell ref="F134:H134"/>
    <mergeCell ref="A132:H132"/>
    <mergeCell ref="F141:H141"/>
    <mergeCell ref="F142:H142"/>
    <mergeCell ref="F143:H143"/>
    <mergeCell ref="F144:H144"/>
    <mergeCell ref="A145:H145"/>
    <mergeCell ref="B140:D140"/>
    <mergeCell ref="F137:H137"/>
    <mergeCell ref="A138:H138"/>
    <mergeCell ref="F139:H139"/>
    <mergeCell ref="F140:H140"/>
    <mergeCell ref="B133:D133"/>
    <mergeCell ref="B130:D130"/>
    <mergeCell ref="F130:H130"/>
    <mergeCell ref="F136:H136"/>
    <mergeCell ref="F135:H135"/>
    <mergeCell ref="F131:H131"/>
    <mergeCell ref="F146:H146"/>
    <mergeCell ref="F147:H147"/>
    <mergeCell ref="F148:H148"/>
    <mergeCell ref="F149:H149"/>
    <mergeCell ref="F150:H150"/>
    <mergeCell ref="F151:H151"/>
    <mergeCell ref="F152:H152"/>
    <mergeCell ref="F154:H154"/>
    <mergeCell ref="F155:H155"/>
    <mergeCell ref="F153:H153"/>
    <mergeCell ref="F156:H156"/>
    <mergeCell ref="F157:H157"/>
    <mergeCell ref="A171:H171"/>
    <mergeCell ref="F158:H158"/>
    <mergeCell ref="A159:H159"/>
    <mergeCell ref="F160:H160"/>
    <mergeCell ref="F161:H161"/>
    <mergeCell ref="F162:H162"/>
    <mergeCell ref="F163:H163"/>
    <mergeCell ref="F164:H164"/>
    <mergeCell ref="B162:D162"/>
    <mergeCell ref="B160:D160"/>
    <mergeCell ref="B161:D161"/>
    <mergeCell ref="B168:D168"/>
    <mergeCell ref="B169:D169"/>
    <mergeCell ref="B163:D163"/>
    <mergeCell ref="B166:D166"/>
    <mergeCell ref="B167:D167"/>
    <mergeCell ref="F172:H172"/>
    <mergeCell ref="F173:H173"/>
    <mergeCell ref="A31:R31"/>
    <mergeCell ref="A32:R32"/>
    <mergeCell ref="A33:R33"/>
    <mergeCell ref="A34:R34"/>
    <mergeCell ref="S28:T28"/>
    <mergeCell ref="A21:T21"/>
    <mergeCell ref="A22:T22"/>
    <mergeCell ref="S23:T23"/>
    <mergeCell ref="S24:T24"/>
    <mergeCell ref="S25:T25"/>
    <mergeCell ref="S26:T26"/>
    <mergeCell ref="S27:T27"/>
    <mergeCell ref="A26:R26"/>
    <mergeCell ref="A27:R27"/>
    <mergeCell ref="B156:D156"/>
    <mergeCell ref="B157:D157"/>
    <mergeCell ref="A165:H165"/>
    <mergeCell ref="F166:H166"/>
    <mergeCell ref="F167:H167"/>
    <mergeCell ref="F168:H168"/>
    <mergeCell ref="F169:H169"/>
    <mergeCell ref="F170:H170"/>
    <mergeCell ref="C7:E7"/>
    <mergeCell ref="C8:E8"/>
    <mergeCell ref="F6:R8"/>
    <mergeCell ref="S6:T8"/>
    <mergeCell ref="C42:E42"/>
    <mergeCell ref="F42:R44"/>
    <mergeCell ref="S42:T44"/>
    <mergeCell ref="C43:E43"/>
    <mergeCell ref="C44:E44"/>
    <mergeCell ref="A41:T41"/>
  </mergeCells>
  <phoneticPr fontId="55" type="noConversion"/>
  <printOptions horizontalCentered="1"/>
  <pageMargins left="0.25" right="0.25" top="0.75" bottom="0.75" header="0.3" footer="0.3"/>
  <pageSetup paperSize="9" scale="45" orientation="landscape" horizontalDpi="4294967292" verticalDpi="4294967292"/>
  <headerFooter alignWithMargins="0">
    <oddFooter>&amp;L&amp;G&amp;R
&amp;D
&amp;A</oddFooter>
  </headerFooter>
  <rowBreaks count="3" manualBreakCount="3">
    <brk id="36" max="16383" man="1"/>
    <brk id="72" max="16383" man="1"/>
    <brk id="173" max="16383" man="1"/>
  </rowBreaks>
  <colBreaks count="1" manualBreakCount="1">
    <brk id="20" max="1048575" man="1"/>
  </colBreaks>
  <drawing r:id="rId1"/>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8">
    <tabColor rgb="FFFFFF00"/>
  </sheetPr>
  <dimension ref="A1:I100"/>
  <sheetViews>
    <sheetView zoomScaleNormal="100" zoomScaleSheetLayoutView="100" workbookViewId="0">
      <selection activeCell="E92" sqref="E92"/>
    </sheetView>
  </sheetViews>
  <sheetFormatPr baseColWidth="10" defaultColWidth="11.33203125" defaultRowHeight="13"/>
  <cols>
    <col min="1" max="1" width="3.33203125" style="2" customWidth="1"/>
    <col min="2" max="2" width="9.5" style="2" customWidth="1"/>
    <col min="3" max="3" width="53.33203125" customWidth="1"/>
    <col min="4" max="4" width="12.6640625" customWidth="1"/>
    <col min="5" max="5" width="12.5" customWidth="1"/>
    <col min="6" max="6" width="35" customWidth="1"/>
    <col min="8" max="8" width="14.6640625" customWidth="1"/>
    <col min="9" max="9" width="22.5" customWidth="1"/>
  </cols>
  <sheetData>
    <row r="1" spans="1:9" s="141" customFormat="1" ht="27" customHeight="1" thickBot="1">
      <c r="A1" s="2"/>
      <c r="B1" s="2"/>
      <c r="C1"/>
      <c r="D1"/>
      <c r="E1"/>
      <c r="F1"/>
      <c r="G1"/>
      <c r="H1"/>
      <c r="I1"/>
    </row>
    <row r="2" spans="1:9" s="37" customFormat="1" ht="124" customHeight="1" thickBot="1">
      <c r="A2" s="3243" t="s">
        <v>980</v>
      </c>
      <c r="B2" s="3244"/>
      <c r="C2" s="3244"/>
      <c r="D2" s="1995" t="s">
        <v>1159</v>
      </c>
      <c r="E2" s="1996" t="s">
        <v>576</v>
      </c>
      <c r="F2" s="1990" t="str">
        <f>'Undervisning-SFO udgifter'!F2</f>
        <v>Ændringer i budgetår 2025 i forhold til 2024. Hvis ekstra udgifter påfør udgiften som et positivt tal. Hvis en lavere udgift, påfør den lavere udgift med et negativt tal. Tallene skal ses i forhold til Budgetåret 2024.</v>
      </c>
      <c r="G2" s="918"/>
      <c r="H2" s="3241" t="str">
        <f>"Heraf daginstitutionens andel vedr. budgetår "&amp;E3&amp;": (kun til brug for retvisende budget for daginstitutionene)"</f>
        <v>Heraf daginstitutionens andel vedr. budgetår 2024: (kun til brug for retvisende budget for daginstitutionene)</v>
      </c>
      <c r="I2" s="3242"/>
    </row>
    <row r="3" spans="1:9" s="3" customFormat="1" ht="18" customHeight="1">
      <c r="A3" s="1991" t="s">
        <v>192</v>
      </c>
      <c r="B3" s="1992" t="s">
        <v>1135</v>
      </c>
      <c r="C3" s="1993" t="s">
        <v>168</v>
      </c>
      <c r="D3" s="1994">
        <f>budgetår-1</f>
        <v>2023</v>
      </c>
      <c r="E3" s="1997">
        <f>budgetår</f>
        <v>2024</v>
      </c>
      <c r="F3" s="2102" t="str">
        <f>'Undervisning-SFO udgifter'!F3</f>
        <v>Ændringer til 2025</v>
      </c>
      <c r="G3" s="284"/>
      <c r="H3" s="937" t="s">
        <v>985</v>
      </c>
      <c r="I3" s="938" t="s">
        <v>986</v>
      </c>
    </row>
    <row r="4" spans="1:9" ht="18" customHeight="1">
      <c r="A4" s="1856">
        <v>1</v>
      </c>
      <c r="B4" s="1088"/>
      <c r="C4" s="935" t="s">
        <v>981</v>
      </c>
      <c r="D4" s="936"/>
      <c r="E4" s="958"/>
      <c r="F4" s="2103"/>
      <c r="G4" s="939"/>
      <c r="H4" s="940"/>
      <c r="I4" s="941">
        <f>E4*H4</f>
        <v>0</v>
      </c>
    </row>
    <row r="5" spans="1:9" ht="18" customHeight="1">
      <c r="A5" s="1856">
        <v>2</v>
      </c>
      <c r="B5" s="1088"/>
      <c r="C5" s="935"/>
      <c r="D5" s="936"/>
      <c r="E5" s="958"/>
      <c r="F5" s="2103"/>
      <c r="G5" s="939"/>
      <c r="H5" s="940"/>
      <c r="I5" s="941">
        <f t="shared" ref="I5:I54" si="0">E5*H5</f>
        <v>0</v>
      </c>
    </row>
    <row r="6" spans="1:9" ht="18" customHeight="1">
      <c r="A6" s="1856">
        <v>3</v>
      </c>
      <c r="B6" s="1088"/>
      <c r="C6" s="935" t="s">
        <v>169</v>
      </c>
      <c r="D6" s="936"/>
      <c r="E6" s="958"/>
      <c r="F6" s="2103"/>
      <c r="G6" s="939"/>
      <c r="H6" s="940"/>
      <c r="I6" s="941">
        <f t="shared" si="0"/>
        <v>0</v>
      </c>
    </row>
    <row r="7" spans="1:9" ht="18" customHeight="1">
      <c r="A7" s="1856">
        <v>4</v>
      </c>
      <c r="B7" s="1088"/>
      <c r="C7" s="935"/>
      <c r="D7" s="936"/>
      <c r="E7" s="958"/>
      <c r="F7" s="2103"/>
      <c r="G7" s="939"/>
      <c r="H7" s="940"/>
      <c r="I7" s="941">
        <f t="shared" si="0"/>
        <v>0</v>
      </c>
    </row>
    <row r="8" spans="1:9" ht="18" customHeight="1">
      <c r="A8" s="1856">
        <v>5</v>
      </c>
      <c r="B8" s="1088"/>
      <c r="C8" s="935"/>
      <c r="D8" s="936"/>
      <c r="E8" s="958"/>
      <c r="F8" s="2103"/>
      <c r="G8" s="939"/>
      <c r="H8" s="942"/>
      <c r="I8" s="943">
        <f t="shared" si="0"/>
        <v>0</v>
      </c>
    </row>
    <row r="9" spans="1:9" ht="18" customHeight="1">
      <c r="A9" s="1959" t="s">
        <v>170</v>
      </c>
      <c r="B9" s="1960"/>
      <c r="C9" s="1961"/>
      <c r="D9" s="1962">
        <f>SUM(D4:D8)</f>
        <v>0</v>
      </c>
      <c r="E9" s="2101">
        <f>SUM(E4:E8)</f>
        <v>0</v>
      </c>
      <c r="F9" s="2104">
        <f>SUM(F4:F8)</f>
        <v>0</v>
      </c>
      <c r="G9" s="939"/>
      <c r="H9" s="944" t="s">
        <v>1059</v>
      </c>
      <c r="I9" s="945">
        <f>SUM(I4:I8)</f>
        <v>0</v>
      </c>
    </row>
    <row r="10" spans="1:9" s="3" customFormat="1" ht="18" customHeight="1">
      <c r="A10" s="1963" t="s">
        <v>192</v>
      </c>
      <c r="B10" s="1964" t="str">
        <f>B3</f>
        <v>Kto. nr.</v>
      </c>
      <c r="C10" s="1965" t="s">
        <v>190</v>
      </c>
      <c r="D10" s="1966">
        <f>budgetår-1</f>
        <v>2023</v>
      </c>
      <c r="E10" s="1999">
        <f>budgetår</f>
        <v>2024</v>
      </c>
      <c r="F10" s="2105" t="str">
        <f>F3</f>
        <v>Ændringer til 2025</v>
      </c>
      <c r="G10" s="284"/>
      <c r="H10" s="947"/>
      <c r="I10" s="948"/>
    </row>
    <row r="11" spans="1:9" ht="18" customHeight="1">
      <c r="A11" s="1856">
        <v>1</v>
      </c>
      <c r="B11" s="1088"/>
      <c r="C11" s="935" t="s">
        <v>191</v>
      </c>
      <c r="D11" s="1967"/>
      <c r="E11" s="1948"/>
      <c r="F11" s="2106"/>
      <c r="G11" s="939"/>
      <c r="H11" s="949"/>
      <c r="I11" s="950">
        <f t="shared" si="0"/>
        <v>0</v>
      </c>
    </row>
    <row r="12" spans="1:9" ht="18" customHeight="1">
      <c r="A12" s="1856">
        <v>2</v>
      </c>
      <c r="B12" s="1088"/>
      <c r="C12" s="935" t="s">
        <v>804</v>
      </c>
      <c r="D12" s="936"/>
      <c r="E12" s="958"/>
      <c r="F12" s="2106"/>
      <c r="G12" s="939"/>
      <c r="H12" s="940"/>
      <c r="I12" s="941">
        <f t="shared" si="0"/>
        <v>0</v>
      </c>
    </row>
    <row r="13" spans="1:9" ht="18" customHeight="1">
      <c r="A13" s="1856">
        <v>3</v>
      </c>
      <c r="B13" s="1088"/>
      <c r="C13" s="935" t="s">
        <v>982</v>
      </c>
      <c r="D13" s="936"/>
      <c r="E13" s="958"/>
      <c r="F13" s="2106"/>
      <c r="G13" s="939"/>
      <c r="H13" s="940"/>
      <c r="I13" s="941">
        <f t="shared" si="0"/>
        <v>0</v>
      </c>
    </row>
    <row r="14" spans="1:9" ht="18" customHeight="1">
      <c r="A14" s="1856">
        <v>4</v>
      </c>
      <c r="B14" s="1088"/>
      <c r="C14" s="935"/>
      <c r="D14" s="936"/>
      <c r="E14" s="958"/>
      <c r="F14" s="2106"/>
      <c r="G14" s="939"/>
      <c r="H14" s="940"/>
      <c r="I14" s="941">
        <f t="shared" si="0"/>
        <v>0</v>
      </c>
    </row>
    <row r="15" spans="1:9" ht="18" customHeight="1">
      <c r="A15" s="1856">
        <v>5</v>
      </c>
      <c r="B15" s="1088"/>
      <c r="C15" s="935"/>
      <c r="D15" s="936"/>
      <c r="E15" s="958"/>
      <c r="F15" s="2106"/>
      <c r="G15" s="939"/>
      <c r="H15" s="942"/>
      <c r="I15" s="943">
        <f t="shared" si="0"/>
        <v>0</v>
      </c>
    </row>
    <row r="16" spans="1:9" ht="18" customHeight="1" thickBot="1">
      <c r="A16" s="1959" t="s">
        <v>998</v>
      </c>
      <c r="B16" s="1960"/>
      <c r="C16" s="1961"/>
      <c r="D16" s="1962">
        <f>SUM(D11:D15)</f>
        <v>0</v>
      </c>
      <c r="E16" s="2101">
        <f>SUM(E11:E15)</f>
        <v>0</v>
      </c>
      <c r="F16" s="2107">
        <f>SUM(F11:F15)</f>
        <v>0</v>
      </c>
      <c r="G16" s="939"/>
      <c r="H16" s="947"/>
      <c r="I16" s="948"/>
    </row>
    <row r="17" spans="1:9" ht="24" customHeight="1" thickBot="1">
      <c r="A17" s="1968" t="str">
        <f>"Lejeudgifter i alt til hovedskema lin. 47"</f>
        <v>Lejeudgifter i alt til hovedskema lin. 47</v>
      </c>
      <c r="B17" s="1969"/>
      <c r="C17" s="1970"/>
      <c r="D17" s="1971"/>
      <c r="E17" s="1972">
        <f>E9+E16</f>
        <v>0</v>
      </c>
      <c r="F17" s="1973"/>
      <c r="G17" s="939"/>
      <c r="H17" s="947"/>
      <c r="I17" s="948"/>
    </row>
    <row r="18" spans="1:9" s="3" customFormat="1" ht="18" customHeight="1" thickBot="1">
      <c r="A18" s="951"/>
      <c r="B18" s="951"/>
      <c r="C18" s="284"/>
      <c r="D18" s="284"/>
      <c r="E18" s="284"/>
      <c r="F18" s="284"/>
      <c r="G18" s="939"/>
      <c r="H18" s="947"/>
      <c r="I18" s="948"/>
    </row>
    <row r="19" spans="1:9" ht="18" customHeight="1">
      <c r="A19" s="1955" t="s">
        <v>192</v>
      </c>
      <c r="B19" s="1956" t="str">
        <f>B10</f>
        <v>Kto. nr.</v>
      </c>
      <c r="C19" s="1957" t="s">
        <v>173</v>
      </c>
      <c r="D19" s="1958">
        <f>budgetår-1</f>
        <v>2023</v>
      </c>
      <c r="E19" s="1949">
        <f>budgetår</f>
        <v>2024</v>
      </c>
      <c r="F19" s="2108" t="str">
        <f>F10</f>
        <v>Ændringer til 2025</v>
      </c>
      <c r="G19" s="284"/>
      <c r="H19" s="952"/>
      <c r="I19" s="953"/>
    </row>
    <row r="20" spans="1:9" ht="18" customHeight="1">
      <c r="A20" s="1856">
        <v>1</v>
      </c>
      <c r="B20" s="1085"/>
      <c r="C20" s="954" t="s">
        <v>173</v>
      </c>
      <c r="D20" s="936"/>
      <c r="E20" s="1948"/>
      <c r="F20" s="2103"/>
      <c r="G20" s="939"/>
      <c r="H20" s="940"/>
      <c r="I20" s="941">
        <f t="shared" si="0"/>
        <v>0</v>
      </c>
    </row>
    <row r="21" spans="1:9" ht="18" customHeight="1">
      <c r="A21" s="1856">
        <v>2</v>
      </c>
      <c r="B21" s="1085"/>
      <c r="C21" s="954"/>
      <c r="D21" s="955"/>
      <c r="E21" s="975"/>
      <c r="F21" s="2103"/>
      <c r="G21" s="939"/>
      <c r="H21" s="940"/>
      <c r="I21" s="941">
        <f t="shared" si="0"/>
        <v>0</v>
      </c>
    </row>
    <row r="22" spans="1:9" ht="18" customHeight="1">
      <c r="A22" s="1856">
        <v>3</v>
      </c>
      <c r="B22" s="1085"/>
      <c r="C22" s="954"/>
      <c r="D22" s="955"/>
      <c r="E22" s="975"/>
      <c r="F22" s="2103"/>
      <c r="G22" s="939"/>
      <c r="H22" s="940"/>
      <c r="I22" s="941">
        <f t="shared" si="0"/>
        <v>0</v>
      </c>
    </row>
    <row r="23" spans="1:9" ht="18" customHeight="1">
      <c r="A23" s="1856">
        <v>4</v>
      </c>
      <c r="B23" s="1085"/>
      <c r="C23" s="954"/>
      <c r="D23" s="955"/>
      <c r="E23" s="975"/>
      <c r="F23" s="2103"/>
      <c r="G23" s="939"/>
      <c r="H23" s="940"/>
      <c r="I23" s="941">
        <f t="shared" si="0"/>
        <v>0</v>
      </c>
    </row>
    <row r="24" spans="1:9" ht="18" customHeight="1">
      <c r="A24" s="1856">
        <v>5</v>
      </c>
      <c r="B24" s="1088"/>
      <c r="C24" s="935"/>
      <c r="D24" s="955"/>
      <c r="E24" s="975"/>
      <c r="F24" s="2103"/>
      <c r="G24" s="939"/>
      <c r="H24" s="942"/>
      <c r="I24" s="943">
        <f t="shared" si="0"/>
        <v>0</v>
      </c>
    </row>
    <row r="25" spans="1:9" s="3" customFormat="1" ht="18" customHeight="1">
      <c r="A25" s="1959" t="s">
        <v>987</v>
      </c>
      <c r="B25" s="1960"/>
      <c r="C25" s="1961"/>
      <c r="D25" s="1962">
        <f>SUM(D20:D24)</f>
        <v>0</v>
      </c>
      <c r="E25" s="1962">
        <f>SUM(E20:E24)</f>
        <v>0</v>
      </c>
      <c r="F25" s="2109">
        <f>SUM(F20:F24)</f>
        <v>0</v>
      </c>
      <c r="G25" s="957"/>
      <c r="H25" s="947"/>
      <c r="I25" s="948"/>
    </row>
    <row r="26" spans="1:9" ht="18" customHeight="1">
      <c r="A26" s="1963" t="s">
        <v>192</v>
      </c>
      <c r="B26" s="1964" t="str">
        <f>B19</f>
        <v>Kto. nr.</v>
      </c>
      <c r="C26" s="1965" t="s">
        <v>147</v>
      </c>
      <c r="D26" s="1966">
        <f>budgetår-1</f>
        <v>2023</v>
      </c>
      <c r="E26" s="1999">
        <f>budgetår</f>
        <v>2024</v>
      </c>
      <c r="F26" s="2105" t="str">
        <f>F10</f>
        <v>Ændringer til 2025</v>
      </c>
      <c r="G26" s="284"/>
      <c r="H26" s="947"/>
      <c r="I26" s="948"/>
    </row>
    <row r="27" spans="1:9" ht="18" customHeight="1">
      <c r="A27" s="1856">
        <v>1</v>
      </c>
      <c r="B27" s="1088"/>
      <c r="C27" s="935" t="s">
        <v>148</v>
      </c>
      <c r="D27" s="936"/>
      <c r="E27" s="958"/>
      <c r="F27" s="2106"/>
      <c r="G27" s="939"/>
      <c r="H27" s="949"/>
      <c r="I27" s="950">
        <f t="shared" si="0"/>
        <v>0</v>
      </c>
    </row>
    <row r="28" spans="1:9" ht="18" customHeight="1">
      <c r="A28" s="1856">
        <v>2</v>
      </c>
      <c r="B28" s="1088"/>
      <c r="C28" s="935" t="s">
        <v>1166</v>
      </c>
      <c r="D28" s="936"/>
      <c r="E28" s="958"/>
      <c r="F28" s="2106"/>
      <c r="G28" s="939"/>
      <c r="H28" s="940"/>
      <c r="I28" s="941">
        <f t="shared" si="0"/>
        <v>0</v>
      </c>
    </row>
    <row r="29" spans="1:9" ht="18" customHeight="1">
      <c r="A29" s="1856">
        <v>3</v>
      </c>
      <c r="B29" s="1088"/>
      <c r="C29" s="935" t="s">
        <v>988</v>
      </c>
      <c r="D29" s="936"/>
      <c r="E29" s="958"/>
      <c r="F29" s="2106"/>
      <c r="G29" s="939"/>
      <c r="H29" s="940"/>
      <c r="I29" s="941">
        <f t="shared" si="0"/>
        <v>0</v>
      </c>
    </row>
    <row r="30" spans="1:9" ht="18" customHeight="1">
      <c r="A30" s="1856">
        <v>4</v>
      </c>
      <c r="B30" s="1088"/>
      <c r="C30" s="935"/>
      <c r="D30" s="936"/>
      <c r="E30" s="958"/>
      <c r="F30" s="2106"/>
      <c r="G30" s="939"/>
      <c r="H30" s="940"/>
      <c r="I30" s="941">
        <f t="shared" si="0"/>
        <v>0</v>
      </c>
    </row>
    <row r="31" spans="1:9" ht="18" customHeight="1" thickBot="1">
      <c r="A31" s="1856">
        <v>5</v>
      </c>
      <c r="B31" s="1088"/>
      <c r="C31" s="935"/>
      <c r="D31" s="936"/>
      <c r="E31" s="958"/>
      <c r="F31" s="2110"/>
      <c r="G31" s="939"/>
      <c r="H31" s="942"/>
      <c r="I31" s="943">
        <f t="shared" si="0"/>
        <v>0</v>
      </c>
    </row>
    <row r="32" spans="1:9" ht="18" customHeight="1" thickBot="1">
      <c r="A32" s="1959" t="s">
        <v>100</v>
      </c>
      <c r="B32" s="1960"/>
      <c r="C32" s="1961"/>
      <c r="D32" s="1962">
        <f>SUM(D27:D31)</f>
        <v>0</v>
      </c>
      <c r="E32" s="1975">
        <f>SUM(E27:E31)</f>
        <v>0</v>
      </c>
      <c r="F32" s="1974">
        <f>SUM(F27:F31)</f>
        <v>0</v>
      </c>
      <c r="G32" s="939"/>
      <c r="H32" s="947"/>
      <c r="I32" s="948"/>
    </row>
    <row r="33" spans="1:9" ht="24" customHeight="1" thickBot="1">
      <c r="A33" s="1968" t="str">
        <f>"Ejendomsskatter og forsikringer  i alt til hovedskema lin. 48"</f>
        <v>Ejendomsskatter og forsikringer  i alt til hovedskema lin. 48</v>
      </c>
      <c r="B33" s="1969"/>
      <c r="C33" s="1970"/>
      <c r="D33" s="1971"/>
      <c r="E33" s="1972">
        <f>E32+E25</f>
        <v>0</v>
      </c>
      <c r="F33" s="1973"/>
      <c r="G33" s="939"/>
      <c r="H33" s="947"/>
      <c r="I33" s="948"/>
    </row>
    <row r="34" spans="1:9" ht="17" thickBot="1">
      <c r="A34" s="951"/>
      <c r="B34" s="951"/>
      <c r="C34" s="284"/>
      <c r="D34" s="284"/>
      <c r="E34" s="284"/>
      <c r="F34" s="284"/>
      <c r="G34" s="939"/>
      <c r="H34" s="947"/>
      <c r="I34" s="948"/>
    </row>
    <row r="35" spans="1:9" ht="16">
      <c r="A35" s="1955" t="s">
        <v>192</v>
      </c>
      <c r="B35" s="1956" t="str">
        <f>B26</f>
        <v>Kto. nr.</v>
      </c>
      <c r="C35" s="1957" t="s">
        <v>73</v>
      </c>
      <c r="D35" s="1950">
        <f>D26</f>
        <v>2023</v>
      </c>
      <c r="E35" s="1950">
        <f>E26</f>
        <v>2024</v>
      </c>
      <c r="F35" s="2112" t="str">
        <f>F26</f>
        <v>Ændringer til 2025</v>
      </c>
      <c r="G35" s="939"/>
      <c r="H35" s="947"/>
      <c r="I35" s="948"/>
    </row>
    <row r="36" spans="1:9" ht="16">
      <c r="A36" s="1856">
        <v>1</v>
      </c>
      <c r="B36" s="1085"/>
      <c r="C36" s="958" t="s">
        <v>73</v>
      </c>
      <c r="D36" s="936"/>
      <c r="E36" s="1948"/>
      <c r="F36" s="2113"/>
      <c r="G36" s="939"/>
      <c r="H36" s="949"/>
      <c r="I36" s="950">
        <f t="shared" si="0"/>
        <v>0</v>
      </c>
    </row>
    <row r="37" spans="1:9" ht="16">
      <c r="A37" s="1856">
        <v>2</v>
      </c>
      <c r="B37" s="1085"/>
      <c r="C37" s="958" t="s">
        <v>805</v>
      </c>
      <c r="D37" s="936"/>
      <c r="E37" s="958"/>
      <c r="F37" s="2113"/>
      <c r="G37" s="939"/>
      <c r="H37" s="942"/>
      <c r="I37" s="943">
        <f t="shared" si="0"/>
        <v>0</v>
      </c>
    </row>
    <row r="38" spans="1:9" ht="16">
      <c r="A38" s="1976" t="s">
        <v>74</v>
      </c>
      <c r="B38" s="1977"/>
      <c r="C38" s="1978"/>
      <c r="D38" s="1962">
        <f>SUM(D36:D37)</f>
        <v>0</v>
      </c>
      <c r="E38" s="1962">
        <f>SUM(E36:E37)</f>
        <v>0</v>
      </c>
      <c r="F38" s="2109">
        <f>SUM(F36:F37)</f>
        <v>0</v>
      </c>
      <c r="G38" s="939"/>
      <c r="H38" s="947"/>
      <c r="I38" s="948"/>
    </row>
    <row r="39" spans="1:9" ht="16">
      <c r="A39" s="1963" t="s">
        <v>192</v>
      </c>
      <c r="B39" s="1964" t="str">
        <f>B35</f>
        <v>Kto. nr.</v>
      </c>
      <c r="C39" s="1979" t="s">
        <v>75</v>
      </c>
      <c r="D39" s="1951">
        <f>D35</f>
        <v>2023</v>
      </c>
      <c r="E39" s="1951">
        <f>E35</f>
        <v>2024</v>
      </c>
      <c r="F39" s="2114" t="str">
        <f>F35</f>
        <v>Ændringer til 2025</v>
      </c>
      <c r="G39" s="939"/>
      <c r="H39" s="947"/>
      <c r="I39" s="948"/>
    </row>
    <row r="40" spans="1:9" ht="16">
      <c r="A40" s="1856">
        <v>1</v>
      </c>
      <c r="B40" s="1085"/>
      <c r="C40" s="958" t="s">
        <v>806</v>
      </c>
      <c r="D40" s="936"/>
      <c r="E40" s="1952"/>
      <c r="F40" s="2115"/>
      <c r="G40" s="939"/>
      <c r="H40" s="949"/>
      <c r="I40" s="950">
        <f t="shared" si="0"/>
        <v>0</v>
      </c>
    </row>
    <row r="41" spans="1:9" ht="16">
      <c r="A41" s="1856">
        <v>2</v>
      </c>
      <c r="B41" s="1085"/>
      <c r="C41" s="958"/>
      <c r="D41" s="936"/>
      <c r="E41" s="958"/>
      <c r="F41" s="2115"/>
      <c r="G41" s="939"/>
      <c r="H41" s="942"/>
      <c r="I41" s="943">
        <f t="shared" si="0"/>
        <v>0</v>
      </c>
    </row>
    <row r="42" spans="1:9" ht="16">
      <c r="A42" s="1976" t="s">
        <v>39</v>
      </c>
      <c r="B42" s="1977"/>
      <c r="C42" s="1978"/>
      <c r="D42" s="1962">
        <f>SUM(D40:D41)</f>
        <v>0</v>
      </c>
      <c r="E42" s="2111">
        <f>SUM(E40:E41)</f>
        <v>0</v>
      </c>
      <c r="F42" s="2109">
        <f>SUM(F40:F41)</f>
        <v>0</v>
      </c>
      <c r="G42" s="939"/>
      <c r="H42" s="947"/>
      <c r="I42" s="948"/>
    </row>
    <row r="43" spans="1:9" ht="16">
      <c r="A43" s="1963" t="s">
        <v>192</v>
      </c>
      <c r="B43" s="1964" t="str">
        <f>B35</f>
        <v>Kto. nr.</v>
      </c>
      <c r="C43" s="1979" t="s">
        <v>40</v>
      </c>
      <c r="D43" s="1951">
        <f>D39</f>
        <v>2023</v>
      </c>
      <c r="E43" s="1951">
        <f>E39</f>
        <v>2024</v>
      </c>
      <c r="F43" s="2114" t="str">
        <f>F39</f>
        <v>Ændringer til 2025</v>
      </c>
      <c r="G43" s="939"/>
      <c r="H43" s="947"/>
      <c r="I43" s="948"/>
    </row>
    <row r="44" spans="1:9" ht="16">
      <c r="A44" s="1856">
        <v>1</v>
      </c>
      <c r="B44" s="1085"/>
      <c r="C44" s="958" t="s">
        <v>40</v>
      </c>
      <c r="D44" s="936"/>
      <c r="E44" s="958"/>
      <c r="F44" s="2115"/>
      <c r="G44" s="939"/>
      <c r="H44" s="949"/>
      <c r="I44" s="950">
        <f t="shared" si="0"/>
        <v>0</v>
      </c>
    </row>
    <row r="45" spans="1:9" ht="16">
      <c r="A45" s="1856">
        <v>2</v>
      </c>
      <c r="B45" s="1085"/>
      <c r="C45" s="958" t="s">
        <v>983</v>
      </c>
      <c r="D45" s="936"/>
      <c r="E45" s="958"/>
      <c r="F45" s="2115"/>
      <c r="G45" s="939"/>
      <c r="H45" s="942"/>
      <c r="I45" s="943">
        <f t="shared" si="0"/>
        <v>0</v>
      </c>
    </row>
    <row r="46" spans="1:9" ht="17" thickBot="1">
      <c r="A46" s="1980" t="s">
        <v>71</v>
      </c>
      <c r="B46" s="1981"/>
      <c r="C46" s="1982"/>
      <c r="D46" s="1983">
        <f>SUM(D44:D45)</f>
        <v>0</v>
      </c>
      <c r="E46" s="1983">
        <f>SUM(E44:E45)</f>
        <v>0</v>
      </c>
      <c r="F46" s="2116">
        <f>SUM(F44:F45)</f>
        <v>0</v>
      </c>
      <c r="G46" s="939"/>
      <c r="H46" s="947"/>
      <c r="I46" s="948"/>
    </row>
    <row r="47" spans="1:9" ht="17" thickBot="1">
      <c r="A47" s="960"/>
      <c r="B47" s="960"/>
      <c r="C47" s="961"/>
      <c r="D47" s="956"/>
      <c r="E47" s="956"/>
      <c r="F47" s="956"/>
      <c r="G47" s="939"/>
      <c r="H47" s="947"/>
      <c r="I47" s="948"/>
    </row>
    <row r="48" spans="1:9" ht="16">
      <c r="A48" s="1955" t="s">
        <v>192</v>
      </c>
      <c r="B48" s="1956" t="str">
        <f>B43</f>
        <v>Kto. nr.</v>
      </c>
      <c r="C48" s="1957" t="s">
        <v>984</v>
      </c>
      <c r="D48" s="1950">
        <f>D43</f>
        <v>2023</v>
      </c>
      <c r="E48" s="1950">
        <f>E43</f>
        <v>2024</v>
      </c>
      <c r="F48" s="2112" t="str">
        <f>F43</f>
        <v>Ændringer til 2025</v>
      </c>
      <c r="G48" s="939"/>
      <c r="H48" s="947"/>
      <c r="I48" s="948"/>
    </row>
    <row r="49" spans="1:9" ht="16">
      <c r="A49" s="1856">
        <v>1</v>
      </c>
      <c r="B49" s="1085"/>
      <c r="C49" s="954" t="s">
        <v>34</v>
      </c>
      <c r="D49" s="936"/>
      <c r="E49" s="958"/>
      <c r="F49" s="2117"/>
      <c r="G49" s="939"/>
      <c r="H49" s="949"/>
      <c r="I49" s="950">
        <f t="shared" si="0"/>
        <v>0</v>
      </c>
    </row>
    <row r="50" spans="1:9" ht="16">
      <c r="A50" s="1856">
        <v>2</v>
      </c>
      <c r="B50" s="1088"/>
      <c r="C50" s="962" t="s">
        <v>1167</v>
      </c>
      <c r="D50" s="936"/>
      <c r="E50" s="958"/>
      <c r="F50" s="2117"/>
      <c r="G50" s="939"/>
      <c r="H50" s="940"/>
      <c r="I50" s="941">
        <f t="shared" si="0"/>
        <v>0</v>
      </c>
    </row>
    <row r="51" spans="1:9" ht="16">
      <c r="A51" s="1856">
        <v>3</v>
      </c>
      <c r="B51" s="1088"/>
      <c r="C51" s="962"/>
      <c r="D51" s="936"/>
      <c r="E51" s="958"/>
      <c r="F51" s="2117"/>
      <c r="G51" s="939"/>
      <c r="H51" s="940"/>
      <c r="I51" s="941">
        <f t="shared" si="0"/>
        <v>0</v>
      </c>
    </row>
    <row r="52" spans="1:9" ht="16">
      <c r="A52" s="1856">
        <v>4</v>
      </c>
      <c r="B52" s="1088"/>
      <c r="C52" s="962"/>
      <c r="D52" s="936"/>
      <c r="E52" s="958"/>
      <c r="F52" s="2117"/>
      <c r="G52" s="939"/>
      <c r="H52" s="940"/>
      <c r="I52" s="941">
        <f t="shared" si="0"/>
        <v>0</v>
      </c>
    </row>
    <row r="53" spans="1:9" ht="16">
      <c r="A53" s="1856">
        <v>5</v>
      </c>
      <c r="B53" s="1085"/>
      <c r="C53" s="954"/>
      <c r="D53" s="936"/>
      <c r="E53" s="958"/>
      <c r="F53" s="2117"/>
      <c r="G53" s="939"/>
      <c r="H53" s="940"/>
      <c r="I53" s="941">
        <f t="shared" si="0"/>
        <v>0</v>
      </c>
    </row>
    <row r="54" spans="1:9" ht="17" thickBot="1">
      <c r="A54" s="1856">
        <v>6</v>
      </c>
      <c r="B54" s="1085"/>
      <c r="C54" s="958"/>
      <c r="D54" s="936"/>
      <c r="E54" s="958"/>
      <c r="F54" s="2118"/>
      <c r="G54" s="939"/>
      <c r="H54" s="942"/>
      <c r="I54" s="943">
        <f t="shared" si="0"/>
        <v>0</v>
      </c>
    </row>
    <row r="55" spans="1:9" ht="17" thickBot="1">
      <c r="A55" s="1985" t="s">
        <v>991</v>
      </c>
      <c r="B55" s="1986"/>
      <c r="C55" s="1987"/>
      <c r="D55" s="1988">
        <f>SUM(D49:D54)</f>
        <v>0</v>
      </c>
      <c r="E55" s="1989">
        <f>SUM(E49:E54)</f>
        <v>0</v>
      </c>
      <c r="F55" s="1974">
        <f>SUM(F49:F54)</f>
        <v>0</v>
      </c>
      <c r="G55" s="939"/>
      <c r="H55" s="947"/>
      <c r="I55" s="948"/>
    </row>
    <row r="56" spans="1:9" ht="24" customHeight="1" thickBot="1">
      <c r="A56" s="1968" t="str">
        <f>"Varme, el, vand, rengøring og renovation  i alt til hovedskema lin. 49"</f>
        <v>Varme, el, vand, rengøring og renovation  i alt til hovedskema lin. 49</v>
      </c>
      <c r="B56" s="1969"/>
      <c r="C56" s="1970"/>
      <c r="D56" s="1971"/>
      <c r="E56" s="1972">
        <f>E38+E42+E46+E55</f>
        <v>0</v>
      </c>
      <c r="F56" s="1973"/>
      <c r="G56" s="939"/>
      <c r="H56" s="947"/>
      <c r="I56" s="948"/>
    </row>
    <row r="57" spans="1:9" ht="17" thickBot="1">
      <c r="A57" s="964"/>
      <c r="B57" s="964"/>
      <c r="C57" s="939"/>
      <c r="D57" s="939"/>
      <c r="E57" s="939"/>
      <c r="F57" s="939"/>
      <c r="G57" s="939"/>
      <c r="H57" s="947"/>
      <c r="I57" s="948"/>
    </row>
    <row r="58" spans="1:9" ht="16">
      <c r="A58" s="1955" t="s">
        <v>192</v>
      </c>
      <c r="B58" s="1956" t="str">
        <f>B48</f>
        <v>Kto. nr.</v>
      </c>
      <c r="C58" s="1957" t="s">
        <v>996</v>
      </c>
      <c r="D58" s="1958">
        <f>budgetår-1</f>
        <v>2023</v>
      </c>
      <c r="E58" s="1949">
        <f>budgetår</f>
        <v>2024</v>
      </c>
      <c r="F58" s="2112" t="str">
        <f>F48</f>
        <v>Ændringer til 2025</v>
      </c>
      <c r="G58" s="939"/>
      <c r="H58" s="965"/>
      <c r="I58" s="966"/>
    </row>
    <row r="59" spans="1:9" ht="16">
      <c r="A59" s="1856">
        <v>1</v>
      </c>
      <c r="B59" s="1085"/>
      <c r="C59" s="954" t="s">
        <v>24</v>
      </c>
      <c r="D59" s="936"/>
      <c r="E59" s="1948"/>
      <c r="F59" s="2117"/>
      <c r="G59" s="939"/>
      <c r="H59" s="940"/>
      <c r="I59" s="941">
        <f t="shared" ref="I59:I64" si="1">E59*H59</f>
        <v>0</v>
      </c>
    </row>
    <row r="60" spans="1:9" ht="16">
      <c r="A60" s="1856">
        <v>2</v>
      </c>
      <c r="B60" s="1085"/>
      <c r="C60" s="954" t="s">
        <v>234</v>
      </c>
      <c r="D60" s="936"/>
      <c r="E60" s="958"/>
      <c r="F60" s="2117"/>
      <c r="G60" s="939"/>
      <c r="H60" s="940"/>
      <c r="I60" s="941">
        <f t="shared" si="1"/>
        <v>0</v>
      </c>
    </row>
    <row r="61" spans="1:9" ht="16">
      <c r="A61" s="1856">
        <v>3</v>
      </c>
      <c r="B61" s="1085"/>
      <c r="C61" s="954" t="s">
        <v>1312</v>
      </c>
      <c r="D61" s="936"/>
      <c r="E61" s="958"/>
      <c r="F61" s="2117"/>
      <c r="G61" s="939"/>
      <c r="H61" s="940"/>
      <c r="I61" s="941">
        <f t="shared" si="1"/>
        <v>0</v>
      </c>
    </row>
    <row r="62" spans="1:9" ht="16">
      <c r="A62" s="1856">
        <v>4</v>
      </c>
      <c r="B62" s="1085"/>
      <c r="C62" s="954" t="s">
        <v>1313</v>
      </c>
      <c r="D62" s="936"/>
      <c r="E62" s="958"/>
      <c r="F62" s="2117"/>
      <c r="G62" s="939"/>
      <c r="H62" s="940"/>
      <c r="I62" s="941">
        <f t="shared" si="1"/>
        <v>0</v>
      </c>
    </row>
    <row r="63" spans="1:9" ht="16">
      <c r="A63" s="1856">
        <v>5</v>
      </c>
      <c r="B63" s="1085"/>
      <c r="C63" s="958" t="s">
        <v>1314</v>
      </c>
      <c r="D63" s="936"/>
      <c r="E63" s="958"/>
      <c r="F63" s="2117"/>
      <c r="G63" s="939"/>
      <c r="H63" s="940"/>
      <c r="I63" s="941">
        <f t="shared" si="1"/>
        <v>0</v>
      </c>
    </row>
    <row r="64" spans="1:9" ht="17" thickBot="1">
      <c r="A64" s="1856">
        <v>6</v>
      </c>
      <c r="B64" s="1085"/>
      <c r="C64" s="958" t="s">
        <v>1315</v>
      </c>
      <c r="D64" s="936"/>
      <c r="E64" s="958"/>
      <c r="F64" s="2118"/>
      <c r="G64" s="939"/>
      <c r="H64" s="940"/>
      <c r="I64" s="941">
        <f t="shared" si="1"/>
        <v>0</v>
      </c>
    </row>
    <row r="65" spans="1:9" ht="17" thickBot="1">
      <c r="A65" s="1980" t="s">
        <v>1306</v>
      </c>
      <c r="B65" s="1981"/>
      <c r="C65" s="1982"/>
      <c r="D65" s="1983">
        <f>SUM(D59:D64)</f>
        <v>0</v>
      </c>
      <c r="E65" s="1984">
        <f>SUM(E59:E64)</f>
        <v>0</v>
      </c>
      <c r="F65" s="2119">
        <f>SUM(F59:F64)</f>
        <v>0</v>
      </c>
      <c r="G65" s="939"/>
      <c r="H65" s="965"/>
      <c r="I65" s="966"/>
    </row>
    <row r="66" spans="1:9" ht="17" thickBot="1">
      <c r="A66" s="967"/>
      <c r="B66" s="960"/>
      <c r="C66" s="961"/>
      <c r="D66" s="968"/>
      <c r="E66" s="969"/>
      <c r="F66" s="956"/>
      <c r="G66" s="959"/>
      <c r="H66" s="965"/>
      <c r="I66" s="966"/>
    </row>
    <row r="67" spans="1:9" ht="16">
      <c r="A67" s="1955" t="s">
        <v>192</v>
      </c>
      <c r="B67" s="1956" t="str">
        <f>B58</f>
        <v>Kto. nr.</v>
      </c>
      <c r="C67" s="1957" t="s">
        <v>183</v>
      </c>
      <c r="D67" s="1958">
        <f>budgetår-1</f>
        <v>2023</v>
      </c>
      <c r="E67" s="1949">
        <f>budgetår</f>
        <v>2024</v>
      </c>
      <c r="F67" s="2112" t="str">
        <f>F58</f>
        <v>Ændringer til 2025</v>
      </c>
      <c r="G67" s="939"/>
      <c r="H67" s="965"/>
      <c r="I67" s="966"/>
    </row>
    <row r="68" spans="1:9" ht="16">
      <c r="A68" s="1856">
        <v>1</v>
      </c>
      <c r="B68" s="1085"/>
      <c r="C68" s="958" t="s">
        <v>281</v>
      </c>
      <c r="D68" s="936"/>
      <c r="E68" s="958"/>
      <c r="F68" s="2113"/>
      <c r="G68" s="939"/>
      <c r="H68" s="940"/>
      <c r="I68" s="941">
        <f>E68*H68</f>
        <v>0</v>
      </c>
    </row>
    <row r="69" spans="1:9" ht="16">
      <c r="A69" s="1856">
        <v>2</v>
      </c>
      <c r="B69" s="1085"/>
      <c r="C69" s="958"/>
      <c r="D69" s="936"/>
      <c r="E69" s="958"/>
      <c r="F69" s="2113"/>
      <c r="G69" s="939"/>
      <c r="H69" s="940"/>
      <c r="I69" s="941">
        <f>E69*H69</f>
        <v>0</v>
      </c>
    </row>
    <row r="70" spans="1:9" ht="16">
      <c r="A70" s="1856">
        <v>3</v>
      </c>
      <c r="B70" s="1085"/>
      <c r="C70" s="958"/>
      <c r="D70" s="936"/>
      <c r="E70" s="1832"/>
      <c r="F70" s="2113"/>
      <c r="G70" s="939"/>
      <c r="H70" s="942"/>
      <c r="I70" s="943">
        <f>E70*H70</f>
        <v>0</v>
      </c>
    </row>
    <row r="71" spans="1:9" ht="17" thickBot="1">
      <c r="A71" s="1980" t="s">
        <v>992</v>
      </c>
      <c r="B71" s="1981"/>
      <c r="C71" s="1982"/>
      <c r="D71" s="1983">
        <f>SUM(D68:D70)</f>
        <v>0</v>
      </c>
      <c r="E71" s="1983">
        <f>SUM(E68:E70)</f>
        <v>0</v>
      </c>
      <c r="F71" s="2107">
        <f>SUM(F68:F70)</f>
        <v>0</v>
      </c>
      <c r="G71" s="939"/>
      <c r="H71" s="947"/>
      <c r="I71" s="948"/>
    </row>
    <row r="72" spans="1:9" s="786" customFormat="1" ht="17" thickBot="1">
      <c r="A72" s="964"/>
      <c r="B72" s="964"/>
      <c r="C72" s="939"/>
      <c r="D72" s="939"/>
      <c r="E72" s="970"/>
      <c r="F72" s="959"/>
      <c r="G72" s="939"/>
      <c r="H72" s="947"/>
      <c r="I72" s="948"/>
    </row>
    <row r="73" spans="1:9" ht="20" customHeight="1">
      <c r="A73" s="1955" t="s">
        <v>192</v>
      </c>
      <c r="B73" s="1956" t="str">
        <f>B67</f>
        <v>Kto. nr.</v>
      </c>
      <c r="C73" s="1957" t="s">
        <v>106</v>
      </c>
      <c r="D73" s="1953" t="str">
        <f xml:space="preserve">
""&amp;budgetår-1</f>
        <v>2023</v>
      </c>
      <c r="E73" s="1953" t="str">
        <f xml:space="preserve">
""&amp;budgetår</f>
        <v>2024</v>
      </c>
      <c r="F73" s="2112" t="str">
        <f>F67</f>
        <v>Ændringer til 2025</v>
      </c>
      <c r="G73" s="939"/>
      <c r="H73" s="947"/>
      <c r="I73" s="948"/>
    </row>
    <row r="74" spans="1:9" ht="16">
      <c r="A74" s="1856">
        <v>1</v>
      </c>
      <c r="B74" s="1085"/>
      <c r="C74" s="958" t="s">
        <v>989</v>
      </c>
      <c r="D74" s="936"/>
      <c r="E74" s="1948"/>
      <c r="F74" s="2120"/>
      <c r="G74" s="939"/>
      <c r="H74" s="949"/>
      <c r="I74" s="950">
        <f>E74*H74</f>
        <v>0</v>
      </c>
    </row>
    <row r="75" spans="1:9" ht="16">
      <c r="A75" s="1856">
        <v>2</v>
      </c>
      <c r="B75" s="1085"/>
      <c r="C75" s="958"/>
      <c r="D75" s="936"/>
      <c r="E75" s="958"/>
      <c r="F75" s="2120"/>
      <c r="G75" s="939"/>
      <c r="H75" s="942"/>
      <c r="I75" s="943">
        <f>E75*H75</f>
        <v>0</v>
      </c>
    </row>
    <row r="76" spans="1:9" ht="17" thickBot="1">
      <c r="A76" s="1980" t="s">
        <v>990</v>
      </c>
      <c r="B76" s="1981"/>
      <c r="C76" s="1982"/>
      <c r="D76" s="1983">
        <f>SUM(D74:D75)</f>
        <v>0</v>
      </c>
      <c r="E76" s="1983">
        <f>SUM(E74:E75)</f>
        <v>0</v>
      </c>
      <c r="F76" s="2107">
        <f>SUM(F74:F75)</f>
        <v>0</v>
      </c>
      <c r="G76" s="939"/>
      <c r="H76" s="947"/>
      <c r="I76" s="948"/>
    </row>
    <row r="77" spans="1:9" s="786" customFormat="1" ht="17" thickBot="1">
      <c r="A77" s="960"/>
      <c r="B77" s="960"/>
      <c r="C77" s="961"/>
      <c r="D77" s="956"/>
      <c r="E77" s="956"/>
      <c r="F77" s="956"/>
      <c r="G77" s="959"/>
      <c r="H77" s="947"/>
      <c r="I77" s="948"/>
    </row>
    <row r="78" spans="1:9" ht="21" customHeight="1">
      <c r="A78" s="1955" t="s">
        <v>192</v>
      </c>
      <c r="B78" s="1956" t="str">
        <f>B73</f>
        <v>Kto. nr.</v>
      </c>
      <c r="C78" s="1957" t="s">
        <v>937</v>
      </c>
      <c r="D78" s="1953" t="str">
        <f>D73</f>
        <v>2023</v>
      </c>
      <c r="E78" s="1953" t="str">
        <f>E73</f>
        <v>2024</v>
      </c>
      <c r="F78" s="2112" t="str">
        <f>F73</f>
        <v>Ændringer til 2025</v>
      </c>
      <c r="G78" s="939"/>
      <c r="H78" s="947"/>
      <c r="I78" s="948"/>
    </row>
    <row r="79" spans="1:9" ht="16">
      <c r="A79" s="1856">
        <v>1</v>
      </c>
      <c r="B79" s="1085"/>
      <c r="C79" s="958"/>
      <c r="D79" s="936"/>
      <c r="E79" s="1952"/>
      <c r="F79" s="2120"/>
      <c r="G79" s="939"/>
      <c r="H79" s="949"/>
      <c r="I79" s="950">
        <f>E79*H79</f>
        <v>0</v>
      </c>
    </row>
    <row r="80" spans="1:9" ht="16">
      <c r="A80" s="1856">
        <v>2</v>
      </c>
      <c r="B80" s="1085"/>
      <c r="C80" s="958"/>
      <c r="D80" s="936"/>
      <c r="E80" s="958"/>
      <c r="F80" s="2120"/>
      <c r="G80" s="939"/>
      <c r="H80" s="942"/>
      <c r="I80" s="943">
        <f>E80*H80</f>
        <v>0</v>
      </c>
    </row>
    <row r="81" spans="1:9" ht="17" thickBot="1">
      <c r="A81" s="1980" t="s">
        <v>941</v>
      </c>
      <c r="B81" s="1981"/>
      <c r="C81" s="1982"/>
      <c r="D81" s="1983">
        <f>SUM(D79:D80)</f>
        <v>0</v>
      </c>
      <c r="E81" s="1983">
        <f>SUM(E79:E80)</f>
        <v>0</v>
      </c>
      <c r="F81" s="2107">
        <f>SUM(F79:F80)</f>
        <v>0</v>
      </c>
      <c r="G81" s="939"/>
      <c r="H81" s="947"/>
      <c r="I81" s="948"/>
    </row>
    <row r="82" spans="1:9" s="786" customFormat="1" ht="17" thickBot="1">
      <c r="A82" s="971"/>
      <c r="B82" s="972"/>
      <c r="C82" s="815"/>
      <c r="D82" s="973"/>
      <c r="E82" s="973"/>
      <c r="F82" s="956"/>
      <c r="G82" s="939"/>
      <c r="H82" s="947"/>
      <c r="I82" s="948"/>
    </row>
    <row r="83" spans="1:9" ht="16" customHeight="1">
      <c r="A83" s="1955" t="s">
        <v>192</v>
      </c>
      <c r="B83" s="1956" t="str">
        <f>B78</f>
        <v>Kto. nr.</v>
      </c>
      <c r="C83" s="1957" t="s">
        <v>94</v>
      </c>
      <c r="D83" s="1958">
        <f>budgetår-1</f>
        <v>2023</v>
      </c>
      <c r="E83" s="1949">
        <f>budgetår</f>
        <v>2024</v>
      </c>
      <c r="F83" s="2112" t="str">
        <f>F78</f>
        <v>Ændringer til 2025</v>
      </c>
      <c r="G83" s="939"/>
      <c r="H83" s="947"/>
      <c r="I83" s="948"/>
    </row>
    <row r="84" spans="1:9" ht="16">
      <c r="A84" s="1856">
        <v>1</v>
      </c>
      <c r="B84" s="1085"/>
      <c r="C84" s="954" t="s">
        <v>96</v>
      </c>
      <c r="D84" s="936"/>
      <c r="E84" s="1948"/>
      <c r="F84" s="2120"/>
      <c r="G84" s="939"/>
      <c r="H84" s="949"/>
      <c r="I84" s="950">
        <f>E84*H84</f>
        <v>0</v>
      </c>
    </row>
    <row r="85" spans="1:9" ht="16">
      <c r="A85" s="1856">
        <v>2</v>
      </c>
      <c r="B85" s="1085"/>
      <c r="C85" s="954" t="s">
        <v>105</v>
      </c>
      <c r="D85" s="936"/>
      <c r="E85" s="958"/>
      <c r="F85" s="2120"/>
      <c r="G85" s="939"/>
      <c r="H85" s="940"/>
      <c r="I85" s="941">
        <f>E85*H85</f>
        <v>0</v>
      </c>
    </row>
    <row r="86" spans="1:9" ht="16">
      <c r="A86" s="1856">
        <v>3</v>
      </c>
      <c r="B86" s="1085"/>
      <c r="C86" s="958"/>
      <c r="D86" s="936"/>
      <c r="E86" s="958"/>
      <c r="F86" s="2120"/>
      <c r="G86" s="939"/>
      <c r="H86" s="940"/>
      <c r="I86" s="941">
        <f>E86*H86</f>
        <v>0</v>
      </c>
    </row>
    <row r="87" spans="1:9" ht="16">
      <c r="A87" s="1856">
        <v>4</v>
      </c>
      <c r="B87" s="1085"/>
      <c r="C87" s="958"/>
      <c r="D87" s="936"/>
      <c r="E87" s="958"/>
      <c r="F87" s="2120"/>
      <c r="G87" s="939"/>
      <c r="H87" s="940"/>
      <c r="I87" s="941">
        <f>E87*H87</f>
        <v>0</v>
      </c>
    </row>
    <row r="88" spans="1:9" ht="16">
      <c r="A88" s="1976" t="s">
        <v>997</v>
      </c>
      <c r="B88" s="1977"/>
      <c r="C88" s="1978"/>
      <c r="D88" s="1962">
        <f>SUM(D84:D87)</f>
        <v>0</v>
      </c>
      <c r="E88" s="1962">
        <f>SUM(E84:E87)</f>
        <v>0</v>
      </c>
      <c r="F88" s="2121">
        <f>SUM(F84:F87)</f>
        <v>0</v>
      </c>
      <c r="G88" s="939"/>
      <c r="H88" s="965"/>
      <c r="I88" s="966"/>
    </row>
    <row r="89" spans="1:9" ht="17" thickBot="1">
      <c r="A89" s="1980" t="s">
        <v>1307</v>
      </c>
      <c r="B89" s="1981"/>
      <c r="C89" s="1982"/>
      <c r="D89" s="1983"/>
      <c r="E89" s="1983">
        <f>E88+E81+E76+E71</f>
        <v>0</v>
      </c>
      <c r="F89" s="2122"/>
      <c r="G89" s="939"/>
      <c r="H89" s="965"/>
      <c r="I89" s="966"/>
    </row>
    <row r="90" spans="1:9" ht="17" thickBot="1">
      <c r="A90" s="967"/>
      <c r="B90" s="960"/>
      <c r="C90" s="961"/>
      <c r="D90" s="968"/>
      <c r="E90" s="969"/>
      <c r="F90" s="956"/>
      <c r="G90" s="959"/>
      <c r="H90" s="965"/>
      <c r="I90" s="966"/>
    </row>
    <row r="91" spans="1:9" ht="17" thickBot="1">
      <c r="A91" s="2123" t="s">
        <v>192</v>
      </c>
      <c r="B91" s="2124" t="str">
        <f>B83</f>
        <v>Kto. nr.</v>
      </c>
      <c r="C91" s="2125" t="s">
        <v>352</v>
      </c>
      <c r="D91" s="2126">
        <f>budgetår-1</f>
        <v>2023</v>
      </c>
      <c r="E91" s="2136">
        <f>budgetår</f>
        <v>2024</v>
      </c>
      <c r="F91" s="2112" t="str">
        <f>F83</f>
        <v>Ændringer til 2025</v>
      </c>
      <c r="G91" s="939"/>
      <c r="H91" s="947"/>
      <c r="I91" s="948"/>
    </row>
    <row r="92" spans="1:9" ht="16">
      <c r="A92" s="2127">
        <v>1</v>
      </c>
      <c r="B92" s="2128"/>
      <c r="C92" s="2129" t="s">
        <v>64</v>
      </c>
      <c r="D92" s="2130"/>
      <c r="E92" s="1954"/>
      <c r="F92" s="2113"/>
      <c r="G92" s="939"/>
      <c r="H92" s="949"/>
      <c r="I92" s="950">
        <f>E92*H92</f>
        <v>0</v>
      </c>
    </row>
    <row r="93" spans="1:9" ht="16">
      <c r="A93" s="1855">
        <v>2</v>
      </c>
      <c r="B93" s="1087"/>
      <c r="C93" s="974"/>
      <c r="D93" s="975"/>
      <c r="E93" s="975"/>
      <c r="F93" s="2113"/>
      <c r="G93" s="939"/>
      <c r="H93" s="940"/>
      <c r="I93" s="941">
        <f>E93*H93</f>
        <v>0</v>
      </c>
    </row>
    <row r="94" spans="1:9" ht="16">
      <c r="A94" s="1856">
        <v>3</v>
      </c>
      <c r="B94" s="1085"/>
      <c r="C94" s="958"/>
      <c r="D94" s="936"/>
      <c r="E94" s="975"/>
      <c r="F94" s="2113"/>
      <c r="G94" s="939"/>
      <c r="H94" s="940"/>
      <c r="I94" s="941">
        <f>E94*H94</f>
        <v>0</v>
      </c>
    </row>
    <row r="95" spans="1:9" ht="16">
      <c r="A95" s="1856">
        <v>4</v>
      </c>
      <c r="B95" s="1085"/>
      <c r="C95" s="958"/>
      <c r="D95" s="936"/>
      <c r="E95" s="958"/>
      <c r="F95" s="2113"/>
      <c r="G95" s="939"/>
      <c r="H95" s="940"/>
      <c r="I95" s="941">
        <f>E95*H95</f>
        <v>0</v>
      </c>
    </row>
    <row r="96" spans="1:9" ht="17" thickBot="1">
      <c r="A96" s="976">
        <v>5</v>
      </c>
      <c r="B96" s="1086"/>
      <c r="C96" s="977"/>
      <c r="D96" s="978"/>
      <c r="E96" s="977"/>
      <c r="F96" s="2113"/>
      <c r="G96" s="939"/>
      <c r="H96" s="940"/>
      <c r="I96" s="941">
        <f>E96*H96</f>
        <v>0</v>
      </c>
    </row>
    <row r="97" spans="1:9" ht="17" thickBot="1">
      <c r="A97" s="2131" t="s">
        <v>993</v>
      </c>
      <c r="B97" s="2132"/>
      <c r="C97" s="2133"/>
      <c r="D97" s="2134">
        <f>SUM(D92:D96)</f>
        <v>0</v>
      </c>
      <c r="E97" s="2137">
        <f>SUM(E92:E96)</f>
        <v>0</v>
      </c>
      <c r="F97" s="2107">
        <f>SUM(F92:F96)</f>
        <v>0</v>
      </c>
      <c r="G97" s="939"/>
      <c r="H97" s="3237" t="s">
        <v>1060</v>
      </c>
      <c r="I97" s="3239">
        <f>SUM(I11:I96)</f>
        <v>0</v>
      </c>
    </row>
    <row r="98" spans="1:9" ht="29" customHeight="1" thickBot="1">
      <c r="A98" s="1968" t="s">
        <v>1308</v>
      </c>
      <c r="B98" s="1969"/>
      <c r="C98" s="1969"/>
      <c r="D98" s="1971"/>
      <c r="E98" s="2135">
        <f>E97</f>
        <v>0</v>
      </c>
      <c r="F98" s="1973"/>
      <c r="G98" s="939"/>
      <c r="H98" s="3238"/>
      <c r="I98" s="3240"/>
    </row>
    <row r="100" spans="1:9" ht="20">
      <c r="A100"/>
      <c r="B100"/>
      <c r="E100" s="4"/>
      <c r="F100" s="2"/>
    </row>
  </sheetData>
  <sheetProtection sheet="1" objects="1" scenarios="1" formatCells="0" formatColumns="0" formatRows="0" insertColumns="0" selectLockedCells="1"/>
  <mergeCells count="4">
    <mergeCell ref="H97:H98"/>
    <mergeCell ref="I97:I98"/>
    <mergeCell ref="H2:I2"/>
    <mergeCell ref="A2:C2"/>
  </mergeCells>
  <phoneticPr fontId="55" type="noConversion"/>
  <printOptions horizontalCentered="1"/>
  <pageMargins left="0.79" right="0.67" top="0.98" bottom="0.83" header="0.51" footer="0.51"/>
  <pageSetup paperSize="9" scale="54" fitToHeight="0" orientation="portrait"/>
  <headerFooter alignWithMargins="0">
    <oddHeader>&amp;C&amp;"Arial,Fed"&amp;12UDGIFTER VEDR. BYGNINGER</oddHeader>
    <oddFooter>&amp;L&amp;G&amp;R
&amp;D
&amp;A</oddFooter>
  </headerFooter>
  <rowBreaks count="1" manualBreakCount="1">
    <brk id="56" max="16383" man="1"/>
  </rowBreaks>
  <colBreaks count="1" manualBreakCount="1">
    <brk id="9" max="1048575" man="1"/>
  </colBreaks>
  <drawing r:id="rId1"/>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1">
    <tabColor rgb="FFFFFF00"/>
    <pageSetUpPr fitToPage="1"/>
  </sheetPr>
  <dimension ref="A1:G46"/>
  <sheetViews>
    <sheetView zoomScaleNormal="100" zoomScaleSheetLayoutView="100" workbookViewId="0">
      <selection activeCell="G43" sqref="G43"/>
    </sheetView>
  </sheetViews>
  <sheetFormatPr baseColWidth="10" defaultColWidth="11.33203125" defaultRowHeight="13"/>
  <cols>
    <col min="1" max="1" width="4.33203125" customWidth="1"/>
    <col min="2" max="2" width="9.33203125" style="354" customWidth="1"/>
    <col min="3" max="3" width="49.33203125" customWidth="1"/>
    <col min="4" max="4" width="17.6640625" customWidth="1"/>
    <col min="5" max="5" width="20.1640625" customWidth="1"/>
    <col min="6" max="6" width="23.6640625" customWidth="1"/>
    <col min="7" max="7" width="12" customWidth="1"/>
  </cols>
  <sheetData>
    <row r="1" spans="1:7" s="141" customFormat="1" ht="25.5" customHeight="1" thickBot="1">
      <c r="B1" s="1057"/>
    </row>
    <row r="2" spans="1:7" ht="50" customHeight="1" thickBot="1">
      <c r="A2" s="3248" t="s">
        <v>1032</v>
      </c>
      <c r="B2" s="3249"/>
      <c r="C2" s="3249"/>
      <c r="D2" s="1995" t="s">
        <v>1158</v>
      </c>
      <c r="E2" s="2142" t="s">
        <v>576</v>
      </c>
      <c r="F2" s="2144" t="str">
        <f>"Ændring "&amp;E3+1&amp;" i forhold til "&amp;E3&amp;""</f>
        <v>Ændring 2025 i forhold til 2024</v>
      </c>
    </row>
    <row r="3" spans="1:7" ht="16">
      <c r="A3" s="1150" t="s">
        <v>192</v>
      </c>
      <c r="B3" s="1151" t="s">
        <v>1135</v>
      </c>
      <c r="C3" s="1152" t="s">
        <v>1033</v>
      </c>
      <c r="D3" s="1153">
        <f>budgetår-1</f>
        <v>2023</v>
      </c>
      <c r="E3" s="1997">
        <f>budgetår</f>
        <v>2024</v>
      </c>
      <c r="F3" s="2143" t="s">
        <v>1361</v>
      </c>
      <c r="G3" s="38"/>
    </row>
    <row r="4" spans="1:7" ht="16">
      <c r="A4" s="1009">
        <v>1</v>
      </c>
      <c r="B4" s="1088"/>
      <c r="C4" s="1010"/>
      <c r="D4" s="1010"/>
      <c r="E4" s="1998"/>
      <c r="F4" s="2139"/>
    </row>
    <row r="5" spans="1:7" ht="16">
      <c r="A5" s="1009">
        <v>2</v>
      </c>
      <c r="B5" s="1088"/>
      <c r="C5" s="935"/>
      <c r="D5" s="1010"/>
      <c r="E5" s="1998"/>
      <c r="F5" s="2139"/>
      <c r="G5" s="38"/>
    </row>
    <row r="6" spans="1:7" ht="16">
      <c r="A6" s="1009">
        <v>3</v>
      </c>
      <c r="B6" s="1088"/>
      <c r="C6" s="935"/>
      <c r="D6" s="1010"/>
      <c r="E6" s="1998"/>
      <c r="F6" s="2139"/>
      <c r="G6" s="38"/>
    </row>
    <row r="7" spans="1:7" ht="16">
      <c r="A7" s="1009">
        <v>4</v>
      </c>
      <c r="B7" s="1088"/>
      <c r="C7" s="935"/>
      <c r="D7" s="1010"/>
      <c r="E7" s="1998"/>
      <c r="F7" s="2139"/>
      <c r="G7" s="38"/>
    </row>
    <row r="8" spans="1:7" ht="16">
      <c r="A8" s="1009">
        <v>5</v>
      </c>
      <c r="B8" s="1088"/>
      <c r="C8" s="1010"/>
      <c r="D8" s="1010"/>
      <c r="E8" s="1998"/>
      <c r="F8" s="2139"/>
      <c r="G8" s="38"/>
    </row>
    <row r="9" spans="1:7" ht="17" thickBot="1">
      <c r="A9" s="1009">
        <v>6</v>
      </c>
      <c r="B9" s="1088"/>
      <c r="C9" s="1011" t="s">
        <v>1034</v>
      </c>
      <c r="D9" s="1010"/>
      <c r="E9" s="1998"/>
      <c r="F9" s="2140"/>
    </row>
    <row r="10" spans="1:7" ht="17" thickBot="1">
      <c r="A10" s="1012" t="str">
        <f>"SUM, "&amp;LOWER(C3)</f>
        <v>SUM, madvarer</v>
      </c>
      <c r="B10" s="963"/>
      <c r="C10" s="1013"/>
      <c r="D10" s="1014">
        <f>SUM(D4:D9)</f>
        <v>0</v>
      </c>
      <c r="E10" s="1014">
        <f>SUM(E4:E9)</f>
        <v>0</v>
      </c>
      <c r="F10" s="1014">
        <f>SUM(F4:F9)</f>
        <v>0</v>
      </c>
    </row>
    <row r="11" spans="1:7" ht="16">
      <c r="A11" s="1019" t="s">
        <v>192</v>
      </c>
      <c r="B11" s="1058" t="str">
        <f>B3</f>
        <v>Kto. nr.</v>
      </c>
      <c r="C11" s="623" t="s">
        <v>1035</v>
      </c>
      <c r="D11" s="946">
        <f>budgetår-1</f>
        <v>2023</v>
      </c>
      <c r="E11" s="1999">
        <f>budgetår</f>
        <v>2024</v>
      </c>
      <c r="F11" s="2141" t="s">
        <v>1361</v>
      </c>
    </row>
    <row r="12" spans="1:7" ht="16">
      <c r="A12" s="1009">
        <v>1</v>
      </c>
      <c r="B12" s="1088"/>
      <c r="C12" s="935"/>
      <c r="D12" s="1010"/>
      <c r="E12" s="1998"/>
      <c r="F12" s="2139"/>
    </row>
    <row r="13" spans="1:7" ht="16">
      <c r="A13" s="1009">
        <v>2</v>
      </c>
      <c r="B13" s="1088"/>
      <c r="C13" s="1010"/>
      <c r="D13" s="1010"/>
      <c r="E13" s="1998"/>
      <c r="F13" s="2139"/>
    </row>
    <row r="14" spans="1:7" ht="17" thickBot="1">
      <c r="A14" s="1009">
        <v>3</v>
      </c>
      <c r="B14" s="1088"/>
      <c r="C14" s="1010"/>
      <c r="D14" s="1010"/>
      <c r="E14" s="1998"/>
      <c r="F14" s="2140"/>
    </row>
    <row r="15" spans="1:7" ht="17" thickBot="1">
      <c r="A15" s="1012" t="str">
        <f>"SUM, "&amp;LOWER(C11)</f>
        <v>SUM, fritidsaktiviteter/weekendarrangementer</v>
      </c>
      <c r="B15" s="963"/>
      <c r="C15" s="1013"/>
      <c r="D15" s="1014">
        <f>SUM(D12:D14)</f>
        <v>0</v>
      </c>
      <c r="E15" s="1014">
        <f t="shared" ref="E15:F15" si="0">SUM(E12:E14)</f>
        <v>0</v>
      </c>
      <c r="F15" s="1014">
        <f t="shared" si="0"/>
        <v>0</v>
      </c>
    </row>
    <row r="16" spans="1:7" ht="16">
      <c r="A16" s="1019" t="s">
        <v>192</v>
      </c>
      <c r="B16" s="1058" t="str">
        <f>B11</f>
        <v>Kto. nr.</v>
      </c>
      <c r="C16" s="623" t="s">
        <v>106</v>
      </c>
      <c r="D16" s="946">
        <f>budgetår-1</f>
        <v>2023</v>
      </c>
      <c r="E16" s="1999">
        <f>budgetår</f>
        <v>2024</v>
      </c>
      <c r="F16" s="2138" t="s">
        <v>1361</v>
      </c>
    </row>
    <row r="17" spans="1:7" ht="16">
      <c r="A17" s="1009">
        <v>1</v>
      </c>
      <c r="B17" s="1088"/>
      <c r="C17" s="1010"/>
      <c r="D17" s="936"/>
      <c r="E17" s="958"/>
      <c r="F17" s="2139"/>
    </row>
    <row r="18" spans="1:7" ht="17" thickBot="1">
      <c r="A18" s="1009">
        <v>2</v>
      </c>
      <c r="B18" s="1088"/>
      <c r="C18" s="1010"/>
      <c r="D18" s="1010"/>
      <c r="E18" s="1998"/>
      <c r="F18" s="2140"/>
    </row>
    <row r="19" spans="1:7" ht="17" thickBot="1">
      <c r="A19" s="1012" t="str">
        <f>"SUM, "&amp;LOWER(C16)</f>
        <v>SUM, kurser</v>
      </c>
      <c r="B19" s="963"/>
      <c r="C19" s="1013"/>
      <c r="D19" s="1014">
        <f>SUM(D17:D18)</f>
        <v>0</v>
      </c>
      <c r="E19" s="1014">
        <f t="shared" ref="E19:F19" si="1">SUM(E17:E18)</f>
        <v>0</v>
      </c>
      <c r="F19" s="1014">
        <f t="shared" si="1"/>
        <v>0</v>
      </c>
    </row>
    <row r="20" spans="1:7" ht="16">
      <c r="A20" s="1019" t="s">
        <v>192</v>
      </c>
      <c r="B20" s="1058" t="str">
        <f>B16</f>
        <v>Kto. nr.</v>
      </c>
      <c r="C20" s="623" t="s">
        <v>937</v>
      </c>
      <c r="D20" s="946">
        <f>budgetår-1</f>
        <v>2023</v>
      </c>
      <c r="E20" s="1999">
        <f>budgetår</f>
        <v>2024</v>
      </c>
      <c r="F20" s="2138" t="s">
        <v>1361</v>
      </c>
    </row>
    <row r="21" spans="1:7" ht="16">
      <c r="A21" s="1009">
        <v>1</v>
      </c>
      <c r="B21" s="1088"/>
      <c r="C21" s="935"/>
      <c r="D21" s="1010"/>
      <c r="E21" s="1998"/>
      <c r="F21" s="2139"/>
    </row>
    <row r="22" spans="1:7" ht="16">
      <c r="A22" s="1009">
        <v>2</v>
      </c>
      <c r="B22" s="1088"/>
      <c r="C22" s="935"/>
      <c r="D22" s="1010"/>
      <c r="E22" s="1998"/>
      <c r="F22" s="2139"/>
      <c r="G22" s="38"/>
    </row>
    <row r="23" spans="1:7" ht="16">
      <c r="A23" s="1009">
        <v>3</v>
      </c>
      <c r="B23" s="1088"/>
      <c r="C23" s="935"/>
      <c r="D23" s="1010"/>
      <c r="E23" s="1998"/>
      <c r="F23" s="2139"/>
      <c r="G23" s="38"/>
    </row>
    <row r="24" spans="1:7" ht="16">
      <c r="A24" s="1009">
        <v>4</v>
      </c>
      <c r="B24" s="1088"/>
      <c r="C24" s="935"/>
      <c r="D24" s="1010"/>
      <c r="E24" s="1998"/>
      <c r="F24" s="2139"/>
      <c r="G24" s="38"/>
    </row>
    <row r="25" spans="1:7" ht="16">
      <c r="A25" s="1009">
        <v>5</v>
      </c>
      <c r="B25" s="1088"/>
      <c r="C25" s="1010"/>
      <c r="D25" s="1010"/>
      <c r="E25" s="1998"/>
      <c r="F25" s="2139"/>
      <c r="G25" s="38"/>
    </row>
    <row r="26" spans="1:7" ht="17" thickBot="1">
      <c r="A26" s="1009">
        <v>6</v>
      </c>
      <c r="B26" s="1097"/>
      <c r="C26" s="1015"/>
      <c r="D26" s="1010"/>
      <c r="E26" s="1998"/>
      <c r="F26" s="2140"/>
      <c r="G26" s="38"/>
    </row>
    <row r="27" spans="1:7" ht="17" thickBot="1">
      <c r="A27" s="1012" t="str">
        <f>"SUM, "&amp;LOWER(C20)</f>
        <v>SUM, tjenesterejser</v>
      </c>
      <c r="B27" s="963"/>
      <c r="C27" s="1013"/>
      <c r="D27" s="1014">
        <f>SUM(D21:D26)</f>
        <v>0</v>
      </c>
      <c r="E27" s="1014">
        <f t="shared" ref="E27:F27" si="2">SUM(E21:E26)</f>
        <v>0</v>
      </c>
      <c r="F27" s="1014">
        <f t="shared" si="2"/>
        <v>0</v>
      </c>
      <c r="G27" s="38"/>
    </row>
    <row r="28" spans="1:7" ht="16">
      <c r="A28" s="1019" t="s">
        <v>192</v>
      </c>
      <c r="B28" s="1058" t="str">
        <f>B20</f>
        <v>Kto. nr.</v>
      </c>
      <c r="C28" s="622" t="s">
        <v>94</v>
      </c>
      <c r="D28" s="946">
        <f>budgetår-1</f>
        <v>2023</v>
      </c>
      <c r="E28" s="1999">
        <f>budgetår</f>
        <v>2024</v>
      </c>
      <c r="F28" s="2138" t="s">
        <v>1361</v>
      </c>
      <c r="G28" s="38"/>
    </row>
    <row r="29" spans="1:7" ht="16">
      <c r="A29" s="1009">
        <v>1</v>
      </c>
      <c r="B29" s="1088"/>
      <c r="C29" s="1010" t="s">
        <v>96</v>
      </c>
      <c r="D29" s="1010"/>
      <c r="E29" s="1998"/>
      <c r="F29" s="2139"/>
      <c r="G29" s="38"/>
    </row>
    <row r="30" spans="1:7" ht="16">
      <c r="A30" s="1009">
        <v>2</v>
      </c>
      <c r="B30" s="1088"/>
      <c r="C30" s="1010" t="s">
        <v>105</v>
      </c>
      <c r="D30" s="1010"/>
      <c r="E30" s="1998"/>
      <c r="F30" s="2139"/>
      <c r="G30" s="38"/>
    </row>
    <row r="31" spans="1:7" ht="16">
      <c r="A31" s="1009">
        <v>3</v>
      </c>
      <c r="B31" s="1088"/>
      <c r="C31" s="1010" t="s">
        <v>234</v>
      </c>
      <c r="D31" s="1010"/>
      <c r="E31" s="1998"/>
      <c r="F31" s="2139"/>
      <c r="G31" s="38"/>
    </row>
    <row r="32" spans="1:7" ht="16">
      <c r="A32" s="1009">
        <v>4</v>
      </c>
      <c r="B32" s="1088"/>
      <c r="C32" s="1010" t="s">
        <v>1036</v>
      </c>
      <c r="D32" s="1010"/>
      <c r="E32" s="1998"/>
      <c r="F32" s="2139"/>
      <c r="G32" s="38"/>
    </row>
    <row r="33" spans="1:7" ht="16">
      <c r="A33" s="1009">
        <v>5</v>
      </c>
      <c r="B33" s="1088"/>
      <c r="C33" s="1010"/>
      <c r="D33" s="1010"/>
      <c r="E33" s="1998"/>
      <c r="F33" s="2139"/>
      <c r="G33" s="38"/>
    </row>
    <row r="34" spans="1:7" ht="17" thickBot="1">
      <c r="A34" s="1009">
        <v>6</v>
      </c>
      <c r="B34" s="1088"/>
      <c r="C34" s="1010"/>
      <c r="D34" s="1010"/>
      <c r="E34" s="1998"/>
      <c r="F34" s="2140"/>
      <c r="G34" s="38"/>
    </row>
    <row r="35" spans="1:7" ht="17" thickBot="1">
      <c r="A35" s="1012" t="str">
        <f>"SUM, "&amp;LOWER(C28)</f>
        <v>SUM, inventar og udstyr</v>
      </c>
      <c r="B35" s="963"/>
      <c r="C35" s="1013"/>
      <c r="D35" s="1014">
        <f>SUM(D29:D34)</f>
        <v>0</v>
      </c>
      <c r="E35" s="1014">
        <f t="shared" ref="E35" si="3">SUM(E29:E34)</f>
        <v>0</v>
      </c>
      <c r="F35" s="1014">
        <f>SUM(F29:F34)</f>
        <v>0</v>
      </c>
      <c r="G35" s="38"/>
    </row>
    <row r="36" spans="1:7" ht="16">
      <c r="A36" s="1019" t="s">
        <v>192</v>
      </c>
      <c r="B36" s="1058" t="str">
        <f>B28</f>
        <v>Kto. nr.</v>
      </c>
      <c r="C36" s="622" t="s">
        <v>1037</v>
      </c>
      <c r="D36" s="946">
        <f>budgetår-1</f>
        <v>2023</v>
      </c>
      <c r="E36" s="1999">
        <f>budgetår</f>
        <v>2024</v>
      </c>
      <c r="F36" s="2138" t="s">
        <v>1361</v>
      </c>
    </row>
    <row r="37" spans="1:7" ht="16">
      <c r="A37" s="1009">
        <v>1</v>
      </c>
      <c r="B37" s="1088"/>
      <c r="C37" s="936"/>
      <c r="D37" s="936"/>
      <c r="E37" s="958"/>
      <c r="F37" s="2106"/>
    </row>
    <row r="38" spans="1:7" ht="17" thickBot="1">
      <c r="A38" s="1009">
        <v>2</v>
      </c>
      <c r="B38" s="1088"/>
      <c r="C38" s="936"/>
      <c r="D38" s="936"/>
      <c r="E38" s="958"/>
      <c r="F38" s="2110"/>
    </row>
    <row r="39" spans="1:7" ht="17" thickBot="1">
      <c r="A39" s="1012" t="str">
        <f>"SUM, "&amp;LOWER(C32)</f>
        <v>SUM, afskrivning</v>
      </c>
      <c r="B39" s="963"/>
      <c r="C39" s="1013" t="s">
        <v>961</v>
      </c>
      <c r="D39" s="1014">
        <f>SUM(D37:D38)</f>
        <v>0</v>
      </c>
      <c r="E39" s="1014">
        <f t="shared" ref="E39:F39" si="4">SUM(E37:E38)</f>
        <v>0</v>
      </c>
      <c r="F39" s="1014">
        <f t="shared" si="4"/>
        <v>0</v>
      </c>
      <c r="G39" s="38"/>
    </row>
    <row r="40" spans="1:7" ht="31" customHeight="1" thickBot="1">
      <c r="A40" s="3245" t="s">
        <v>1309</v>
      </c>
      <c r="B40" s="3246"/>
      <c r="C40" s="3247"/>
      <c r="D40" s="1016">
        <f>D39+D35+D27+D19+D15+D10</f>
        <v>0</v>
      </c>
      <c r="E40" s="1016">
        <f>E39+E35+E27+E19+E15+E10</f>
        <v>0</v>
      </c>
      <c r="F40" s="1016">
        <f>F39+F35+F27+F19+F15+F10</f>
        <v>0</v>
      </c>
    </row>
    <row r="41" spans="1:7" ht="17" thickBot="1">
      <c r="A41" s="939"/>
      <c r="B41" s="1055"/>
      <c r="C41" s="939"/>
      <c r="D41" s="939"/>
      <c r="E41" s="939"/>
      <c r="F41" s="1059"/>
    </row>
    <row r="42" spans="1:7" ht="16">
      <c r="A42" s="1955" t="s">
        <v>192</v>
      </c>
      <c r="B42" s="2001" t="str">
        <f>B36</f>
        <v>Kto. nr.</v>
      </c>
      <c r="C42" s="2002" t="s">
        <v>1038</v>
      </c>
      <c r="D42" s="1958">
        <f>budgetår-1</f>
        <v>2023</v>
      </c>
      <c r="E42" s="1949">
        <f>budgetår</f>
        <v>2024</v>
      </c>
      <c r="F42" s="2138" t="s">
        <v>1361</v>
      </c>
    </row>
    <row r="43" spans="1:7" ht="16">
      <c r="A43" s="1856">
        <v>1</v>
      </c>
      <c r="B43" s="1088"/>
      <c r="C43" s="935"/>
      <c r="D43" s="1017"/>
      <c r="E43" s="2000"/>
      <c r="F43" s="2113"/>
    </row>
    <row r="44" spans="1:7" ht="17" thickBot="1">
      <c r="A44" s="1856">
        <v>2</v>
      </c>
      <c r="B44" s="1088"/>
      <c r="C44" s="935"/>
      <c r="D44" s="1017"/>
      <c r="E44" s="1018"/>
      <c r="F44" s="2118"/>
    </row>
    <row r="45" spans="1:7" ht="17" thickBot="1">
      <c r="A45" s="1980" t="s">
        <v>1310</v>
      </c>
      <c r="B45" s="1981"/>
      <c r="C45" s="2003"/>
      <c r="D45" s="2004">
        <f>SUM(D43:D44)</f>
        <v>0</v>
      </c>
      <c r="E45" s="2004">
        <f t="shared" ref="E45:F45" si="5">SUM(E43:E44)</f>
        <v>0</v>
      </c>
      <c r="F45" s="2004">
        <f t="shared" si="5"/>
        <v>0</v>
      </c>
    </row>
    <row r="46" spans="1:7" ht="17" thickBot="1">
      <c r="A46" s="2005"/>
      <c r="B46" s="2006" t="str">
        <f>"Ændring Kostafdeling "&amp;E42+1&amp;" i forhold til "&amp;E42&amp;" i alt:"</f>
        <v>Ændring Kostafdeling 2025 i forhold til 2024 i alt:</v>
      </c>
      <c r="C46" s="2007"/>
      <c r="D46" s="2007"/>
      <c r="E46" s="2007"/>
      <c r="F46" s="2008">
        <f>SUM(F43:F44)+SUM(F37:F38)+SUM(F29:F34)+SUM(F21:F26)+SUM(F17:F18)+SUM(F12:F14)+SUM(F4:F9)</f>
        <v>0</v>
      </c>
    </row>
  </sheetData>
  <sheetProtection sheet="1" objects="1" scenarios="1" formatCells="0" formatColumns="0" formatRows="0"/>
  <mergeCells count="2">
    <mergeCell ref="A40:C40"/>
    <mergeCell ref="A2:C2"/>
  </mergeCells>
  <phoneticPr fontId="55" type="noConversion"/>
  <dataValidations count="1">
    <dataValidation type="whole" allowBlank="1" showInputMessage="1" showErrorMessage="1" sqref="E9" xr:uid="{00000000-0002-0000-0D00-000000000000}">
      <formula1>-1000000</formula1>
      <formula2>0</formula2>
    </dataValidation>
  </dataValidations>
  <printOptions horizontalCentered="1"/>
  <pageMargins left="0.79" right="0.67" top="0.98" bottom="0.83" header="0.51" footer="0.51"/>
  <pageSetup paperSize="9" scale="71" orientation="portrait" horizontalDpi="4294967292" verticalDpi="4294967292"/>
  <headerFooter alignWithMargins="0">
    <oddHeader>&amp;C&amp;"Arial,Fed"&amp;16Mad / Kantine</oddHeader>
    <oddFooter>&amp;L&amp;G&amp;R
&amp;D
&amp;A</oddFooter>
  </headerFooter>
  <drawing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9">
    <tabColor rgb="FFFFFF00"/>
  </sheetPr>
  <dimension ref="A1:AB291"/>
  <sheetViews>
    <sheetView zoomScaleNormal="100" zoomScalePageLayoutView="244" workbookViewId="0">
      <selection activeCell="E149" sqref="E149"/>
    </sheetView>
  </sheetViews>
  <sheetFormatPr baseColWidth="10" defaultColWidth="11.33203125" defaultRowHeight="13"/>
  <cols>
    <col min="1" max="1" width="5.1640625" style="2" customWidth="1"/>
    <col min="2" max="2" width="9" style="354" customWidth="1"/>
    <col min="3" max="3" width="48.5" customWidth="1"/>
    <col min="4" max="4" width="15" customWidth="1"/>
    <col min="5" max="5" width="15.5" customWidth="1"/>
    <col min="6" max="6" width="38.1640625" customWidth="1"/>
    <col min="8" max="8" width="16.1640625" customWidth="1"/>
    <col min="9" max="9" width="15" customWidth="1"/>
  </cols>
  <sheetData>
    <row r="1" spans="1:28" s="141" customFormat="1" ht="24.75" customHeight="1" thickBot="1">
      <c r="A1" s="2"/>
      <c r="B1" s="354"/>
      <c r="C1"/>
      <c r="D1"/>
      <c r="E1"/>
      <c r="F1"/>
      <c r="G1"/>
      <c r="H1"/>
      <c r="I1"/>
      <c r="J1"/>
      <c r="K1"/>
      <c r="L1"/>
      <c r="M1"/>
      <c r="N1"/>
      <c r="O1"/>
      <c r="P1"/>
      <c r="Q1"/>
      <c r="R1"/>
      <c r="S1"/>
      <c r="T1"/>
    </row>
    <row r="2" spans="1:28" ht="73" customHeight="1" thickBot="1">
      <c r="A2" s="3254" t="s">
        <v>1243</v>
      </c>
      <c r="B2" s="3255"/>
      <c r="C2" s="3255"/>
      <c r="D2" s="2027" t="s">
        <v>1158</v>
      </c>
      <c r="E2" s="2028" t="s">
        <v>576</v>
      </c>
      <c r="F2" s="2096" t="str">
        <f>Ejendom!F2</f>
        <v>Ændringer i budgetår 2025 i forhold til 2024. Hvis ekstra udgifter påfør udgiften som et positivt tal. Hvis en lavere udgift, påfør den lavere udgift med et negativt tal. Tallene skal ses i forhold til Budgetåret 2024.</v>
      </c>
      <c r="G2" s="282"/>
      <c r="H2" s="3256" t="str">
        <f>"Heraf daginstitutionens andel vedr. budgetår "&amp;E3&amp;":"</f>
        <v>Heraf daginstitutionens andel vedr. budgetår 2024:</v>
      </c>
      <c r="I2" s="3257"/>
    </row>
    <row r="3" spans="1:28" ht="16">
      <c r="A3" s="1955" t="s">
        <v>192</v>
      </c>
      <c r="B3" s="2001" t="s">
        <v>1135</v>
      </c>
      <c r="C3" s="2002" t="s">
        <v>38</v>
      </c>
      <c r="D3" s="1958">
        <f>budgetår-1</f>
        <v>2023</v>
      </c>
      <c r="E3" s="1949">
        <f>budgetår</f>
        <v>2024</v>
      </c>
      <c r="F3" s="2141" t="s">
        <v>1360</v>
      </c>
      <c r="G3" s="939"/>
      <c r="H3" s="1081" t="s">
        <v>985</v>
      </c>
      <c r="I3" s="1082" t="s">
        <v>986</v>
      </c>
    </row>
    <row r="4" spans="1:28" ht="16">
      <c r="A4" s="1856">
        <v>1</v>
      </c>
      <c r="B4" s="1088"/>
      <c r="C4" s="1010" t="s">
        <v>38</v>
      </c>
      <c r="D4" s="1010"/>
      <c r="E4" s="1998"/>
      <c r="F4" s="2139"/>
      <c r="G4" s="939"/>
      <c r="H4" s="1060"/>
      <c r="I4" s="1061">
        <f>E4*H4</f>
        <v>0</v>
      </c>
    </row>
    <row r="5" spans="1:28" ht="16">
      <c r="A5" s="1856">
        <v>2</v>
      </c>
      <c r="B5" s="1088"/>
      <c r="C5" s="1010"/>
      <c r="D5" s="1010"/>
      <c r="E5" s="1998"/>
      <c r="F5" s="2139"/>
      <c r="G5" s="939"/>
      <c r="H5" s="1060"/>
      <c r="I5" s="1061">
        <f t="shared" ref="I5:I68" si="0">E5*H5</f>
        <v>0</v>
      </c>
    </row>
    <row r="6" spans="1:28" ht="16">
      <c r="A6" s="1985" t="str">
        <f>"SUM, "&amp;LOWER(C3)</f>
        <v>SUM, revision</v>
      </c>
      <c r="B6" s="1986"/>
      <c r="C6" s="2029"/>
      <c r="D6" s="2030">
        <f>SUM(D4:D5)</f>
        <v>0</v>
      </c>
      <c r="E6" s="2030">
        <f t="shared" ref="E6" si="1">SUM(E4:E5)</f>
        <v>0</v>
      </c>
      <c r="F6" s="2030">
        <f>SUM(F4:F5)</f>
        <v>0</v>
      </c>
      <c r="G6" s="939"/>
      <c r="H6" s="947"/>
      <c r="I6" s="1062"/>
    </row>
    <row r="7" spans="1:28" ht="16">
      <c r="A7" s="1963" t="s">
        <v>192</v>
      </c>
      <c r="B7" s="2031" t="str">
        <f>B3</f>
        <v>Kto. nr.</v>
      </c>
      <c r="C7" s="1965" t="s">
        <v>89</v>
      </c>
      <c r="D7" s="1966">
        <f>budgetår-1</f>
        <v>2023</v>
      </c>
      <c r="E7" s="1999">
        <f>budgetår</f>
        <v>2024</v>
      </c>
      <c r="F7" s="2145" t="s">
        <v>1360</v>
      </c>
      <c r="G7" s="939"/>
      <c r="H7" s="947"/>
      <c r="I7" s="1062"/>
    </row>
    <row r="8" spans="1:28" ht="16">
      <c r="A8" s="1856">
        <v>1</v>
      </c>
      <c r="B8" s="1088"/>
      <c r="C8" s="935" t="s">
        <v>90</v>
      </c>
      <c r="D8" s="1010"/>
      <c r="E8" s="1998"/>
      <c r="F8" s="2139"/>
      <c r="G8" s="939"/>
      <c r="H8" s="1060"/>
      <c r="I8" s="1061">
        <f t="shared" si="0"/>
        <v>0</v>
      </c>
    </row>
    <row r="9" spans="1:28" ht="16">
      <c r="A9" s="1856">
        <v>2</v>
      </c>
      <c r="B9" s="1088"/>
      <c r="C9" s="1010" t="s">
        <v>0</v>
      </c>
      <c r="D9" s="1010"/>
      <c r="E9" s="1998"/>
      <c r="F9" s="2139"/>
      <c r="G9" s="939"/>
      <c r="H9" s="1060"/>
      <c r="I9" s="1061">
        <f t="shared" si="0"/>
        <v>0</v>
      </c>
    </row>
    <row r="10" spans="1:28" ht="16">
      <c r="A10" s="1856">
        <v>3</v>
      </c>
      <c r="B10" s="1088"/>
      <c r="C10" s="1010"/>
      <c r="D10" s="1010"/>
      <c r="E10" s="1998"/>
      <c r="F10" s="2139"/>
      <c r="G10" s="939"/>
      <c r="H10" s="1060"/>
      <c r="I10" s="1061">
        <f t="shared" si="0"/>
        <v>0</v>
      </c>
    </row>
    <row r="11" spans="1:28" ht="16">
      <c r="A11" s="1985" t="str">
        <f>"SUM, "&amp;LOWER(C7)</f>
        <v>SUM, regnskabsmæssig assistance</v>
      </c>
      <c r="B11" s="1986"/>
      <c r="C11" s="2029"/>
      <c r="D11" s="2030">
        <f>SUM(D8:D10)</f>
        <v>0</v>
      </c>
      <c r="E11" s="2030">
        <f t="shared" ref="E11:F11" si="2">SUM(E8:E10)</f>
        <v>0</v>
      </c>
      <c r="F11" s="2030">
        <f t="shared" si="2"/>
        <v>0</v>
      </c>
      <c r="G11" s="939"/>
      <c r="H11" s="947"/>
      <c r="I11" s="1062"/>
    </row>
    <row r="12" spans="1:28" ht="16">
      <c r="A12" s="1963" t="s">
        <v>192</v>
      </c>
      <c r="B12" s="2031" t="str">
        <f>B7</f>
        <v>Kto. nr.</v>
      </c>
      <c r="C12" s="1965" t="s">
        <v>25</v>
      </c>
      <c r="D12" s="1966">
        <f>budgetår-1</f>
        <v>2023</v>
      </c>
      <c r="E12" s="1999">
        <f>budgetår</f>
        <v>2024</v>
      </c>
      <c r="F12" s="2145" t="s">
        <v>1360</v>
      </c>
      <c r="G12" s="939"/>
      <c r="H12" s="947"/>
      <c r="I12" s="1062"/>
      <c r="AB12" s="624"/>
    </row>
    <row r="13" spans="1:28" ht="16">
      <c r="A13" s="1856">
        <v>1</v>
      </c>
      <c r="B13" s="1088"/>
      <c r="C13" s="1010" t="s">
        <v>1168</v>
      </c>
      <c r="D13" s="936"/>
      <c r="E13" s="958"/>
      <c r="F13" s="2139"/>
      <c r="G13" s="939"/>
      <c r="H13" s="1060"/>
      <c r="I13" s="1061">
        <f t="shared" si="0"/>
        <v>0</v>
      </c>
    </row>
    <row r="14" spans="1:28" ht="16">
      <c r="A14" s="1856">
        <v>2</v>
      </c>
      <c r="B14" s="1088"/>
      <c r="C14" s="1010" t="s">
        <v>59</v>
      </c>
      <c r="D14" s="1010"/>
      <c r="E14" s="1998"/>
      <c r="F14" s="2139"/>
      <c r="G14" s="939"/>
      <c r="H14" s="1060"/>
      <c r="I14" s="1061">
        <f t="shared" si="0"/>
        <v>0</v>
      </c>
    </row>
    <row r="15" spans="1:28" ht="16">
      <c r="A15" s="1985" t="str">
        <f>"SUM, "&amp;LOWER(C12)</f>
        <v>SUM, andre konsulenter</v>
      </c>
      <c r="B15" s="1986"/>
      <c r="C15" s="2029"/>
      <c r="D15" s="2030">
        <f>SUM(D13:D14)</f>
        <v>0</v>
      </c>
      <c r="E15" s="2030">
        <f t="shared" ref="E15:F15" si="3">SUM(E13:E14)</f>
        <v>0</v>
      </c>
      <c r="F15" s="2030">
        <f t="shared" si="3"/>
        <v>0</v>
      </c>
      <c r="G15" s="939"/>
      <c r="H15" s="947"/>
      <c r="I15" s="1062"/>
    </row>
    <row r="16" spans="1:28" ht="16">
      <c r="A16" s="1963" t="s">
        <v>192</v>
      </c>
      <c r="B16" s="2031" t="str">
        <f>B12</f>
        <v>Kto. nr.</v>
      </c>
      <c r="C16" s="1965" t="s">
        <v>175</v>
      </c>
      <c r="D16" s="1966">
        <f>budgetår-1</f>
        <v>2023</v>
      </c>
      <c r="E16" s="1999">
        <f>budgetår</f>
        <v>2024</v>
      </c>
      <c r="F16" s="2145" t="s">
        <v>1360</v>
      </c>
      <c r="G16" s="939"/>
      <c r="H16" s="947"/>
      <c r="I16" s="1062"/>
    </row>
    <row r="17" spans="1:9" ht="16">
      <c r="A17" s="1856">
        <v>1</v>
      </c>
      <c r="B17" s="1088"/>
      <c r="C17" s="935" t="s">
        <v>302</v>
      </c>
      <c r="D17" s="1010"/>
      <c r="E17" s="1998"/>
      <c r="F17" s="2139"/>
      <c r="G17" s="939"/>
      <c r="H17" s="1060"/>
      <c r="I17" s="1061">
        <f t="shared" si="0"/>
        <v>0</v>
      </c>
    </row>
    <row r="18" spans="1:9" ht="16">
      <c r="A18" s="1856">
        <v>2</v>
      </c>
      <c r="B18" s="1088"/>
      <c r="C18" s="935" t="s">
        <v>303</v>
      </c>
      <c r="D18" s="1010"/>
      <c r="E18" s="1998"/>
      <c r="F18" s="2139"/>
      <c r="G18" s="939"/>
      <c r="H18" s="1060"/>
      <c r="I18" s="1061">
        <f t="shared" si="0"/>
        <v>0</v>
      </c>
    </row>
    <row r="19" spans="1:9" ht="16">
      <c r="A19" s="1856">
        <v>3</v>
      </c>
      <c r="B19" s="1088"/>
      <c r="C19" s="935" t="s">
        <v>304</v>
      </c>
      <c r="D19" s="1010"/>
      <c r="E19" s="1998"/>
      <c r="F19" s="2139"/>
      <c r="G19" s="939"/>
      <c r="H19" s="1060"/>
      <c r="I19" s="1061">
        <f t="shared" si="0"/>
        <v>0</v>
      </c>
    </row>
    <row r="20" spans="1:9" ht="16">
      <c r="A20" s="1856">
        <v>4</v>
      </c>
      <c r="B20" s="1088"/>
      <c r="C20" s="935" t="s">
        <v>305</v>
      </c>
      <c r="D20" s="1010"/>
      <c r="E20" s="1998"/>
      <c r="F20" s="2139"/>
      <c r="G20" s="939"/>
      <c r="H20" s="1060"/>
      <c r="I20" s="1061">
        <f t="shared" si="0"/>
        <v>0</v>
      </c>
    </row>
    <row r="21" spans="1:9" ht="16">
      <c r="A21" s="1856">
        <v>5</v>
      </c>
      <c r="B21" s="1088"/>
      <c r="C21" s="1010" t="s">
        <v>306</v>
      </c>
      <c r="D21" s="1010"/>
      <c r="E21" s="1998"/>
      <c r="F21" s="2139"/>
      <c r="G21" s="939"/>
      <c r="H21" s="1060"/>
      <c r="I21" s="1061">
        <f t="shared" si="0"/>
        <v>0</v>
      </c>
    </row>
    <row r="22" spans="1:9" ht="16">
      <c r="A22" s="1856">
        <v>6</v>
      </c>
      <c r="B22" s="1097"/>
      <c r="C22" s="1015" t="s">
        <v>307</v>
      </c>
      <c r="D22" s="1010"/>
      <c r="E22" s="1998"/>
      <c r="F22" s="2139"/>
      <c r="G22" s="939"/>
      <c r="H22" s="1060"/>
      <c r="I22" s="1061">
        <f t="shared" si="0"/>
        <v>0</v>
      </c>
    </row>
    <row r="23" spans="1:9" ht="16">
      <c r="A23" s="1985" t="str">
        <f>"SUM, "&amp;LOWER(C16)</f>
        <v>SUM, forsikringer (ej bygninger)</v>
      </c>
      <c r="B23" s="1986"/>
      <c r="C23" s="2029"/>
      <c r="D23" s="2030">
        <f>SUM(D17:D22)</f>
        <v>0</v>
      </c>
      <c r="E23" s="2030">
        <f t="shared" ref="E23:F23" si="4">SUM(E17:E22)</f>
        <v>0</v>
      </c>
      <c r="F23" s="2030">
        <f t="shared" si="4"/>
        <v>0</v>
      </c>
      <c r="G23" s="939"/>
      <c r="H23" s="947"/>
      <c r="I23" s="1062"/>
    </row>
    <row r="24" spans="1:9" s="3" customFormat="1" ht="16">
      <c r="A24" s="1963" t="s">
        <v>192</v>
      </c>
      <c r="B24" s="2031" t="str">
        <f>B16</f>
        <v>Kto. nr.</v>
      </c>
      <c r="C24" s="1979" t="s">
        <v>1001</v>
      </c>
      <c r="D24" s="1966">
        <f>budgetår-1</f>
        <v>2023</v>
      </c>
      <c r="E24" s="1999">
        <f>budgetår</f>
        <v>2024</v>
      </c>
      <c r="F24" s="2145" t="s">
        <v>1360</v>
      </c>
      <c r="G24" s="939"/>
      <c r="H24" s="947"/>
      <c r="I24" s="1062"/>
    </row>
    <row r="25" spans="1:9" s="3" customFormat="1" ht="16">
      <c r="A25" s="1856">
        <v>1</v>
      </c>
      <c r="B25" s="1088"/>
      <c r="C25" s="1010" t="s">
        <v>1002</v>
      </c>
      <c r="D25" s="1010"/>
      <c r="E25" s="1998"/>
      <c r="F25" s="2139"/>
      <c r="G25" s="939"/>
      <c r="H25" s="1060"/>
      <c r="I25" s="1061">
        <f t="shared" si="0"/>
        <v>0</v>
      </c>
    </row>
    <row r="26" spans="1:9" s="3" customFormat="1" ht="16">
      <c r="A26" s="1856">
        <v>2</v>
      </c>
      <c r="B26" s="1088"/>
      <c r="C26" s="1010" t="s">
        <v>1004</v>
      </c>
      <c r="D26" s="1010"/>
      <c r="E26" s="1998"/>
      <c r="F26" s="2139"/>
      <c r="G26" s="939"/>
      <c r="H26" s="1060"/>
      <c r="I26" s="1061">
        <f t="shared" si="0"/>
        <v>0</v>
      </c>
    </row>
    <row r="27" spans="1:9" s="3" customFormat="1" ht="16">
      <c r="A27" s="1856">
        <v>3</v>
      </c>
      <c r="B27" s="1088"/>
      <c r="C27" s="1010" t="s">
        <v>1003</v>
      </c>
      <c r="D27" s="1010"/>
      <c r="E27" s="1998"/>
      <c r="F27" s="2139"/>
      <c r="G27" s="939"/>
      <c r="H27" s="1060"/>
      <c r="I27" s="1061">
        <f t="shared" si="0"/>
        <v>0</v>
      </c>
    </row>
    <row r="28" spans="1:9" s="3" customFormat="1" ht="16">
      <c r="A28" s="1856">
        <v>4</v>
      </c>
      <c r="B28" s="1088"/>
      <c r="C28" s="1010"/>
      <c r="D28" s="1010"/>
      <c r="E28" s="1998"/>
      <c r="F28" s="2139"/>
      <c r="G28" s="939"/>
      <c r="H28" s="1060"/>
      <c r="I28" s="1061">
        <f t="shared" si="0"/>
        <v>0</v>
      </c>
    </row>
    <row r="29" spans="1:9" s="3" customFormat="1" ht="16">
      <c r="A29" s="1856">
        <v>5</v>
      </c>
      <c r="B29" s="1088"/>
      <c r="C29" s="1010"/>
      <c r="D29" s="1010"/>
      <c r="E29" s="1998"/>
      <c r="F29" s="2139"/>
      <c r="G29" s="939"/>
      <c r="H29" s="1060"/>
      <c r="I29" s="1061">
        <f t="shared" si="0"/>
        <v>0</v>
      </c>
    </row>
    <row r="30" spans="1:9" ht="16">
      <c r="A30" s="1856">
        <v>6</v>
      </c>
      <c r="B30" s="1088"/>
      <c r="C30" s="1010"/>
      <c r="D30" s="1010"/>
      <c r="E30" s="1998"/>
      <c r="F30" s="2139"/>
      <c r="G30" s="939"/>
      <c r="H30" s="1060"/>
      <c r="I30" s="1061">
        <f t="shared" si="0"/>
        <v>0</v>
      </c>
    </row>
    <row r="31" spans="1:9" ht="16">
      <c r="A31" s="1985" t="str">
        <f>"SUM, "&amp;LOWER(C24)</f>
        <v>SUM, markedsføring</v>
      </c>
      <c r="B31" s="1986"/>
      <c r="C31" s="2029"/>
      <c r="D31" s="2030">
        <f>SUM(D25:D30)</f>
        <v>0</v>
      </c>
      <c r="E31" s="2030">
        <f t="shared" ref="E31:F31" si="5">SUM(E25:E30)</f>
        <v>0</v>
      </c>
      <c r="F31" s="2030">
        <f t="shared" si="5"/>
        <v>0</v>
      </c>
      <c r="G31" s="939"/>
      <c r="H31" s="947"/>
      <c r="I31" s="1062"/>
    </row>
    <row r="32" spans="1:9" ht="16">
      <c r="A32" s="1963" t="s">
        <v>192</v>
      </c>
      <c r="B32" s="2031" t="str">
        <f>B24</f>
        <v>Kto. nr.</v>
      </c>
      <c r="C32" s="1979" t="s">
        <v>1005</v>
      </c>
      <c r="D32" s="1966">
        <f>budgetår-1</f>
        <v>2023</v>
      </c>
      <c r="E32" s="1999">
        <f>budgetår</f>
        <v>2024</v>
      </c>
      <c r="F32" s="2145" t="s">
        <v>1360</v>
      </c>
      <c r="G32" s="939"/>
      <c r="H32" s="947"/>
      <c r="I32" s="1062"/>
    </row>
    <row r="33" spans="1:9" ht="16">
      <c r="A33" s="1856">
        <v>1</v>
      </c>
      <c r="B33" s="1088"/>
      <c r="C33" s="936" t="s">
        <v>1006</v>
      </c>
      <c r="D33" s="936"/>
      <c r="E33" s="958"/>
      <c r="F33" s="2106"/>
      <c r="G33" s="939"/>
      <c r="H33" s="1060"/>
      <c r="I33" s="1061">
        <f t="shared" si="0"/>
        <v>0</v>
      </c>
    </row>
    <row r="34" spans="1:9" ht="16">
      <c r="A34" s="1856">
        <v>2</v>
      </c>
      <c r="B34" s="1088"/>
      <c r="C34" s="936"/>
      <c r="D34" s="936"/>
      <c r="E34" s="958"/>
      <c r="F34" s="2106"/>
      <c r="G34" s="939"/>
      <c r="H34" s="1060"/>
      <c r="I34" s="1061">
        <f t="shared" si="0"/>
        <v>0</v>
      </c>
    </row>
    <row r="35" spans="1:9" ht="16">
      <c r="A35" s="1985" t="str">
        <f>"SUM, "&amp;LOWER(C32)</f>
        <v>SUM, omkostninger ved ansættelse af personale</v>
      </c>
      <c r="B35" s="1977"/>
      <c r="C35" s="2032"/>
      <c r="D35" s="1962">
        <f>SUM(D33:D34)</f>
        <v>0</v>
      </c>
      <c r="E35" s="1962">
        <f t="shared" ref="E35:F35" si="6">SUM(E33:E34)</f>
        <v>0</v>
      </c>
      <c r="F35" s="1962">
        <f t="shared" si="6"/>
        <v>0</v>
      </c>
      <c r="G35" s="939"/>
      <c r="H35" s="947"/>
      <c r="I35" s="1062"/>
    </row>
    <row r="36" spans="1:9" s="3" customFormat="1" ht="16">
      <c r="A36" s="1963" t="s">
        <v>192</v>
      </c>
      <c r="B36" s="2031" t="str">
        <f>B32</f>
        <v>Kto. nr.</v>
      </c>
      <c r="C36" s="1965" t="s">
        <v>1007</v>
      </c>
      <c r="D36" s="1966">
        <f>budgetår-1</f>
        <v>2023</v>
      </c>
      <c r="E36" s="1999">
        <f>budgetår</f>
        <v>2024</v>
      </c>
      <c r="F36" s="2145" t="s">
        <v>1360</v>
      </c>
      <c r="G36" s="284"/>
      <c r="H36" s="947"/>
      <c r="I36" s="1062"/>
    </row>
    <row r="37" spans="1:9" s="3" customFormat="1" ht="16">
      <c r="A37" s="1856">
        <v>1</v>
      </c>
      <c r="B37" s="1088"/>
      <c r="C37" s="935" t="s">
        <v>1008</v>
      </c>
      <c r="D37" s="1010"/>
      <c r="E37" s="1998"/>
      <c r="F37" s="2139"/>
      <c r="G37" s="284"/>
      <c r="H37" s="1060"/>
      <c r="I37" s="1061">
        <f t="shared" si="0"/>
        <v>0</v>
      </c>
    </row>
    <row r="38" spans="1:9" ht="16">
      <c r="A38" s="1856">
        <v>2</v>
      </c>
      <c r="B38" s="1088"/>
      <c r="C38" s="935" t="s">
        <v>1009</v>
      </c>
      <c r="D38" s="1010"/>
      <c r="E38" s="1998"/>
      <c r="F38" s="2139"/>
      <c r="G38" s="939"/>
      <c r="H38" s="1060"/>
      <c r="I38" s="1061">
        <f t="shared" si="0"/>
        <v>0</v>
      </c>
    </row>
    <row r="39" spans="1:9" ht="16">
      <c r="A39" s="1856">
        <v>3</v>
      </c>
      <c r="B39" s="1088"/>
      <c r="C39" s="935" t="s">
        <v>1010</v>
      </c>
      <c r="D39" s="1010"/>
      <c r="E39" s="1998"/>
      <c r="F39" s="2139"/>
      <c r="G39" s="939"/>
      <c r="H39" s="1060"/>
      <c r="I39" s="1061">
        <f t="shared" si="0"/>
        <v>0</v>
      </c>
    </row>
    <row r="40" spans="1:9" ht="16">
      <c r="A40" s="1856">
        <v>4</v>
      </c>
      <c r="B40" s="1088"/>
      <c r="C40" s="935" t="s">
        <v>1011</v>
      </c>
      <c r="D40" s="1010"/>
      <c r="E40" s="1998"/>
      <c r="F40" s="2139"/>
      <c r="G40" s="939"/>
      <c r="H40" s="1060"/>
      <c r="I40" s="1061">
        <f t="shared" si="0"/>
        <v>0</v>
      </c>
    </row>
    <row r="41" spans="1:9" s="3" customFormat="1" ht="16">
      <c r="A41" s="1856">
        <v>5</v>
      </c>
      <c r="B41" s="1088"/>
      <c r="C41" s="1010"/>
      <c r="D41" s="1010"/>
      <c r="E41" s="1998"/>
      <c r="F41" s="2139"/>
      <c r="G41" s="284"/>
      <c r="H41" s="1060"/>
      <c r="I41" s="1061">
        <f t="shared" si="0"/>
        <v>0</v>
      </c>
    </row>
    <row r="42" spans="1:9" ht="16">
      <c r="A42" s="1856">
        <v>6</v>
      </c>
      <c r="B42" s="1097"/>
      <c r="C42" s="1015"/>
      <c r="D42" s="1010"/>
      <c r="E42" s="1998"/>
      <c r="F42" s="2139"/>
      <c r="G42" s="939"/>
      <c r="H42" s="1060"/>
      <c r="I42" s="1061">
        <f t="shared" si="0"/>
        <v>0</v>
      </c>
    </row>
    <row r="43" spans="1:9" ht="16">
      <c r="A43" s="1985" t="str">
        <f>"SUM, "&amp;LOWER(C36)</f>
        <v>SUM, personaleomkostninger</v>
      </c>
      <c r="B43" s="1986"/>
      <c r="C43" s="2029"/>
      <c r="D43" s="2030">
        <f>SUM(D37:D42)</f>
        <v>0</v>
      </c>
      <c r="E43" s="2030">
        <f t="shared" ref="E43:F43" si="7">SUM(E37:E42)</f>
        <v>0</v>
      </c>
      <c r="F43" s="2030">
        <f t="shared" si="7"/>
        <v>0</v>
      </c>
      <c r="G43" s="939"/>
      <c r="H43" s="947"/>
      <c r="I43" s="1062"/>
    </row>
    <row r="44" spans="1:9" ht="16">
      <c r="A44" s="1963" t="s">
        <v>192</v>
      </c>
      <c r="B44" s="2031" t="str">
        <f>B36</f>
        <v>Kto. nr.</v>
      </c>
      <c r="C44" s="1979" t="s">
        <v>1012</v>
      </c>
      <c r="D44" s="1966">
        <f>budgetår-1</f>
        <v>2023</v>
      </c>
      <c r="E44" s="1999">
        <f>budgetår</f>
        <v>2024</v>
      </c>
      <c r="F44" s="2145" t="s">
        <v>1360</v>
      </c>
      <c r="G44" s="939"/>
      <c r="H44" s="947"/>
      <c r="I44" s="1062"/>
    </row>
    <row r="45" spans="1:9" ht="16">
      <c r="A45" s="1856">
        <v>1</v>
      </c>
      <c r="B45" s="1088"/>
      <c r="C45" s="1010" t="s">
        <v>1013</v>
      </c>
      <c r="D45" s="1010"/>
      <c r="E45" s="1998"/>
      <c r="F45" s="2139"/>
      <c r="G45" s="939"/>
      <c r="H45" s="1060"/>
      <c r="I45" s="1061">
        <f t="shared" si="0"/>
        <v>0</v>
      </c>
    </row>
    <row r="46" spans="1:9" s="3" customFormat="1" ht="16">
      <c r="A46" s="1856">
        <v>2</v>
      </c>
      <c r="B46" s="1088"/>
      <c r="C46" s="1010" t="s">
        <v>1014</v>
      </c>
      <c r="D46" s="1010"/>
      <c r="E46" s="1998"/>
      <c r="F46" s="2139"/>
      <c r="G46" s="284"/>
      <c r="H46" s="1060"/>
      <c r="I46" s="1061">
        <f t="shared" si="0"/>
        <v>0</v>
      </c>
    </row>
    <row r="47" spans="1:9" ht="16">
      <c r="A47" s="1856">
        <v>3</v>
      </c>
      <c r="B47" s="1088"/>
      <c r="C47" s="1010"/>
      <c r="D47" s="1010"/>
      <c r="E47" s="1998"/>
      <c r="F47" s="2139"/>
      <c r="G47" s="939"/>
      <c r="H47" s="1060"/>
      <c r="I47" s="1061">
        <f t="shared" si="0"/>
        <v>0</v>
      </c>
    </row>
    <row r="48" spans="1:9" ht="16">
      <c r="A48" s="1856">
        <v>4</v>
      </c>
      <c r="B48" s="1088"/>
      <c r="C48" s="1010"/>
      <c r="D48" s="1010"/>
      <c r="E48" s="1998"/>
      <c r="F48" s="2139"/>
      <c r="G48" s="939"/>
      <c r="H48" s="1060"/>
      <c r="I48" s="1061">
        <f t="shared" si="0"/>
        <v>0</v>
      </c>
    </row>
    <row r="49" spans="1:9" ht="16">
      <c r="A49" s="1856">
        <v>5</v>
      </c>
      <c r="B49" s="1088"/>
      <c r="C49" s="1010"/>
      <c r="D49" s="1010"/>
      <c r="E49" s="1998"/>
      <c r="F49" s="2139"/>
      <c r="G49" s="939"/>
      <c r="H49" s="1060"/>
      <c r="I49" s="1061">
        <f t="shared" si="0"/>
        <v>0</v>
      </c>
    </row>
    <row r="50" spans="1:9" ht="16">
      <c r="A50" s="1856">
        <v>6</v>
      </c>
      <c r="B50" s="1088"/>
      <c r="C50" s="1010"/>
      <c r="D50" s="1010"/>
      <c r="E50" s="1998"/>
      <c r="F50" s="2139"/>
      <c r="G50" s="939"/>
      <c r="H50" s="1060"/>
      <c r="I50" s="1061">
        <f t="shared" si="0"/>
        <v>0</v>
      </c>
    </row>
    <row r="51" spans="1:9" ht="16">
      <c r="A51" s="1985" t="str">
        <f>"SUM, "&amp;LOWER(C44)</f>
        <v>SUM, bestyrelsesomkostninger</v>
      </c>
      <c r="B51" s="1986"/>
      <c r="C51" s="2029"/>
      <c r="D51" s="2030">
        <f>SUM(D45:D50)</f>
        <v>0</v>
      </c>
      <c r="E51" s="2030">
        <f t="shared" ref="E51:F51" si="8">SUM(E45:E50)</f>
        <v>0</v>
      </c>
      <c r="F51" s="2030">
        <f t="shared" si="8"/>
        <v>0</v>
      </c>
      <c r="G51" s="939"/>
      <c r="H51" s="947"/>
      <c r="I51" s="1062"/>
    </row>
    <row r="52" spans="1:9" s="3" customFormat="1" ht="16" customHeight="1">
      <c r="A52" s="1963" t="s">
        <v>192</v>
      </c>
      <c r="B52" s="2031" t="str">
        <f>B44</f>
        <v>Kto. nr.</v>
      </c>
      <c r="C52" s="1979" t="s">
        <v>106</v>
      </c>
      <c r="D52" s="1966">
        <f>budgetår-1</f>
        <v>2023</v>
      </c>
      <c r="E52" s="1999">
        <f>budgetår</f>
        <v>2024</v>
      </c>
      <c r="F52" s="2145" t="s">
        <v>1360</v>
      </c>
      <c r="G52" s="284"/>
      <c r="H52" s="947"/>
      <c r="I52" s="1062"/>
    </row>
    <row r="53" spans="1:9" ht="16">
      <c r="A53" s="1856">
        <v>1</v>
      </c>
      <c r="B53" s="1088"/>
      <c r="C53" s="936" t="s">
        <v>1015</v>
      </c>
      <c r="D53" s="936"/>
      <c r="E53" s="958"/>
      <c r="F53" s="2106"/>
      <c r="G53" s="939"/>
      <c r="H53" s="1060"/>
      <c r="I53" s="1061">
        <f t="shared" si="0"/>
        <v>0</v>
      </c>
    </row>
    <row r="54" spans="1:9" ht="16">
      <c r="A54" s="1856">
        <v>2</v>
      </c>
      <c r="B54" s="1088"/>
      <c r="C54" s="1010" t="s">
        <v>1016</v>
      </c>
      <c r="D54" s="936"/>
      <c r="E54" s="958"/>
      <c r="F54" s="2139"/>
      <c r="G54" s="939"/>
      <c r="H54" s="1060"/>
      <c r="I54" s="1061">
        <f t="shared" si="0"/>
        <v>0</v>
      </c>
    </row>
    <row r="55" spans="1:9" ht="16">
      <c r="A55" s="1856">
        <v>3</v>
      </c>
      <c r="B55" s="1088"/>
      <c r="C55" s="1010" t="s">
        <v>1017</v>
      </c>
      <c r="D55" s="936"/>
      <c r="E55" s="958"/>
      <c r="F55" s="2139"/>
      <c r="G55" s="939"/>
      <c r="H55" s="1060"/>
      <c r="I55" s="1061">
        <f t="shared" si="0"/>
        <v>0</v>
      </c>
    </row>
    <row r="56" spans="1:9" ht="16">
      <c r="A56" s="1856">
        <v>4</v>
      </c>
      <c r="B56" s="1088"/>
      <c r="C56" s="1010"/>
      <c r="D56" s="1010"/>
      <c r="E56" s="1998"/>
      <c r="F56" s="2139"/>
      <c r="G56" s="939"/>
      <c r="H56" s="1060"/>
      <c r="I56" s="1061">
        <f>E56*H56</f>
        <v>0</v>
      </c>
    </row>
    <row r="57" spans="1:9" ht="16">
      <c r="A57" s="1856">
        <v>5</v>
      </c>
      <c r="B57" s="1088"/>
      <c r="C57" s="936"/>
      <c r="D57" s="936"/>
      <c r="E57" s="958"/>
      <c r="F57" s="2106"/>
      <c r="G57" s="939"/>
      <c r="H57" s="1060"/>
      <c r="I57" s="1061">
        <f t="shared" si="0"/>
        <v>0</v>
      </c>
    </row>
    <row r="58" spans="1:9" s="3" customFormat="1" ht="16">
      <c r="A58" s="1985" t="str">
        <f>"SUM, "&amp;LOWER(C52)</f>
        <v>SUM, kurser</v>
      </c>
      <c r="B58" s="1977"/>
      <c r="C58" s="2032"/>
      <c r="D58" s="1962">
        <f>SUM(D53:D57)</f>
        <v>0</v>
      </c>
      <c r="E58" s="1962">
        <f t="shared" ref="E58:F58" si="9">SUM(E53:E57)</f>
        <v>0</v>
      </c>
      <c r="F58" s="1962">
        <f t="shared" si="9"/>
        <v>0</v>
      </c>
      <c r="G58" s="284"/>
      <c r="H58" s="947"/>
      <c r="I58" s="1062"/>
    </row>
    <row r="59" spans="1:9" ht="16" customHeight="1">
      <c r="A59" s="1963" t="s">
        <v>192</v>
      </c>
      <c r="B59" s="2031" t="str">
        <f>B52</f>
        <v>Kto. nr.</v>
      </c>
      <c r="C59" s="1979" t="s">
        <v>937</v>
      </c>
      <c r="D59" s="1966">
        <f>budgetår-1</f>
        <v>2023</v>
      </c>
      <c r="E59" s="1999">
        <f>budgetår</f>
        <v>2024</v>
      </c>
      <c r="F59" s="2145" t="s">
        <v>1360</v>
      </c>
      <c r="G59" s="939"/>
      <c r="H59" s="947"/>
      <c r="I59" s="1062"/>
    </row>
    <row r="60" spans="1:9" ht="16">
      <c r="A60" s="1856">
        <v>1</v>
      </c>
      <c r="B60" s="1088"/>
      <c r="C60" s="936"/>
      <c r="D60" s="936"/>
      <c r="E60" s="958"/>
      <c r="F60" s="2106"/>
      <c r="G60" s="939"/>
      <c r="H60" s="1063"/>
      <c r="I60" s="1061">
        <f t="shared" si="0"/>
        <v>0</v>
      </c>
    </row>
    <row r="61" spans="1:9" ht="16" customHeight="1">
      <c r="A61" s="1856">
        <v>2</v>
      </c>
      <c r="B61" s="1088"/>
      <c r="C61" s="936"/>
      <c r="D61" s="936"/>
      <c r="E61" s="958"/>
      <c r="F61" s="2106"/>
      <c r="G61" s="939"/>
      <c r="H61" s="1063"/>
      <c r="I61" s="1061">
        <f t="shared" si="0"/>
        <v>0</v>
      </c>
    </row>
    <row r="62" spans="1:9" ht="17" thickBot="1">
      <c r="A62" s="1985" t="str">
        <f>"SUM, "&amp;LOWER(C59)</f>
        <v>SUM, tjenesterejser</v>
      </c>
      <c r="B62" s="1977"/>
      <c r="C62" s="2032"/>
      <c r="D62" s="1962">
        <f>SUM(D60:D61)</f>
        <v>0</v>
      </c>
      <c r="E62" s="1962">
        <f t="shared" ref="E62:F62" si="10">SUM(E60:E61)</f>
        <v>0</v>
      </c>
      <c r="F62" s="1962">
        <f t="shared" si="10"/>
        <v>0</v>
      </c>
      <c r="G62" s="939"/>
      <c r="H62" s="947"/>
      <c r="I62" s="1062"/>
    </row>
    <row r="63" spans="1:9" ht="16">
      <c r="A63" s="1963" t="s">
        <v>192</v>
      </c>
      <c r="B63" s="2031" t="str">
        <f>B59</f>
        <v>Kto. nr.</v>
      </c>
      <c r="C63" s="1979" t="s">
        <v>1018</v>
      </c>
      <c r="D63" s="1966">
        <f>budgetår-1</f>
        <v>2023</v>
      </c>
      <c r="E63" s="1999">
        <f>budgetår</f>
        <v>2024</v>
      </c>
      <c r="F63" s="2152" t="s">
        <v>1360</v>
      </c>
      <c r="G63" s="939"/>
      <c r="H63" s="947"/>
      <c r="I63" s="1062"/>
    </row>
    <row r="64" spans="1:9" ht="16">
      <c r="A64" s="1856">
        <v>1</v>
      </c>
      <c r="B64" s="1088"/>
      <c r="C64" s="1064" t="s">
        <v>1019</v>
      </c>
      <c r="D64" s="936"/>
      <c r="E64" s="2025">
        <f>'lon undervisning'!AD102+'Lon pæd., TAP mm'!BG90</f>
        <v>10461.605</v>
      </c>
      <c r="F64" s="2148">
        <f>'Lon pæd., TAP mm'!BG94+'lon undervisning'!AD107-Administration!E64</f>
        <v>-10461.605</v>
      </c>
      <c r="G64" s="939"/>
      <c r="H64" s="1060"/>
      <c r="I64" s="1061">
        <f t="shared" si="0"/>
        <v>0</v>
      </c>
    </row>
    <row r="65" spans="1:9" ht="16">
      <c r="A65" s="1856">
        <v>2</v>
      </c>
      <c r="B65" s="1088"/>
      <c r="C65" s="1065" t="s">
        <v>217</v>
      </c>
      <c r="D65" s="1010"/>
      <c r="E65" s="2026">
        <f>'Lon pæd., TAP mm'!U90</f>
        <v>0</v>
      </c>
      <c r="F65" s="2233">
        <f>'Lon pæd., TAP mm'!U94-'Lon pæd., TAP mm'!U90</f>
        <v>0</v>
      </c>
      <c r="G65" s="939"/>
      <c r="H65" s="1060"/>
      <c r="I65" s="1061">
        <f t="shared" si="0"/>
        <v>0</v>
      </c>
    </row>
    <row r="66" spans="1:9" ht="16">
      <c r="A66" s="1856">
        <v>3</v>
      </c>
      <c r="B66" s="1088"/>
      <c r="C66" s="1065" t="s">
        <v>821</v>
      </c>
      <c r="D66" s="1010"/>
      <c r="E66" s="2026">
        <f>'Lon pæd., TAP mm'!AI90</f>
        <v>0</v>
      </c>
      <c r="F66" s="2233">
        <f>'Lon pæd., TAP mm'!AI94-'Lon pæd., TAP mm'!AI90</f>
        <v>0</v>
      </c>
      <c r="G66" s="939"/>
      <c r="H66" s="1060"/>
      <c r="I66" s="1061">
        <f t="shared" si="0"/>
        <v>0</v>
      </c>
    </row>
    <row r="67" spans="1:9" s="3" customFormat="1" ht="16">
      <c r="A67" s="1856">
        <v>4</v>
      </c>
      <c r="B67" s="1088"/>
      <c r="C67" s="1065" t="s">
        <v>845</v>
      </c>
      <c r="D67" s="1010"/>
      <c r="E67" s="2026">
        <f>'Lon pæd., TAP mm'!AU90</f>
        <v>0</v>
      </c>
      <c r="F67" s="2233">
        <f>'Lon pæd., TAP mm'!AU94-'Lon pæd., TAP mm'!AU90</f>
        <v>0</v>
      </c>
      <c r="G67" s="284"/>
      <c r="H67" s="1060"/>
      <c r="I67" s="1061">
        <f t="shared" si="0"/>
        <v>0</v>
      </c>
    </row>
    <row r="68" spans="1:9" ht="16">
      <c r="A68" s="1856">
        <v>5</v>
      </c>
      <c r="B68" s="1088"/>
      <c r="C68" s="1065" t="s">
        <v>284</v>
      </c>
      <c r="D68" s="1010"/>
      <c r="E68" s="2026">
        <f>'Lon pæd., TAP mm'!BM90</f>
        <v>0</v>
      </c>
      <c r="F68" s="2233">
        <f>'Lon pæd., TAP mm'!BM94-'Lon pæd., TAP mm'!BM90</f>
        <v>0</v>
      </c>
      <c r="G68" s="939"/>
      <c r="H68" s="1060"/>
      <c r="I68" s="1061">
        <f t="shared" si="0"/>
        <v>0</v>
      </c>
    </row>
    <row r="69" spans="1:9" ht="16">
      <c r="A69" s="1856">
        <v>6</v>
      </c>
      <c r="B69" s="1088"/>
      <c r="C69" s="1065" t="s">
        <v>862</v>
      </c>
      <c r="D69" s="1010"/>
      <c r="E69" s="2026">
        <f>'Lon pæd., TAP mm'!BZ90</f>
        <v>0</v>
      </c>
      <c r="F69" s="2233">
        <f>'Lon pæd., TAP mm'!BZ94-'Lon pæd., TAP mm'!BZ90</f>
        <v>0</v>
      </c>
      <c r="G69" s="939"/>
      <c r="H69" s="1060"/>
      <c r="I69" s="1061">
        <f t="shared" ref="I69:I121" si="11">E69*H69</f>
        <v>0</v>
      </c>
    </row>
    <row r="70" spans="1:9" ht="17" thickBot="1">
      <c r="A70" s="1856">
        <v>7</v>
      </c>
      <c r="B70" s="1088"/>
      <c r="C70" s="1065" t="s">
        <v>1020</v>
      </c>
      <c r="D70" s="1010"/>
      <c r="E70" s="2026">
        <f>'Lon pæd., TAP mm'!CG90</f>
        <v>0</v>
      </c>
      <c r="F70" s="2235">
        <f>'Lon pæd., TAP mm'!CG94-'Lon pæd., TAP mm'!CG90</f>
        <v>0</v>
      </c>
      <c r="G70" s="939"/>
      <c r="H70" s="1060"/>
      <c r="I70" s="1061">
        <f t="shared" si="11"/>
        <v>0</v>
      </c>
    </row>
    <row r="71" spans="1:9" ht="16">
      <c r="A71" s="1985" t="str">
        <f>"SUM, "&amp;LOWER(C63)</f>
        <v>SUM, lovpligtige afgifter personale</v>
      </c>
      <c r="B71" s="1977"/>
      <c r="C71" s="2032"/>
      <c r="D71" s="1962">
        <f>SUM(D64:D70)</f>
        <v>0</v>
      </c>
      <c r="E71" s="1962">
        <f t="shared" ref="E71:F71" si="12">SUM(E64:E70)</f>
        <v>10461.605</v>
      </c>
      <c r="F71" s="1962">
        <f t="shared" si="12"/>
        <v>-10461.605</v>
      </c>
      <c r="G71" s="939"/>
      <c r="H71" s="947"/>
      <c r="I71" s="1062"/>
    </row>
    <row r="72" spans="1:9" ht="16">
      <c r="A72" s="1963" t="s">
        <v>192</v>
      </c>
      <c r="B72" s="2031" t="str">
        <f>B63</f>
        <v>Kto. nr.</v>
      </c>
      <c r="C72" s="1965" t="s">
        <v>78</v>
      </c>
      <c r="D72" s="1966">
        <f>budgetår-1</f>
        <v>2023</v>
      </c>
      <c r="E72" s="1999">
        <f>budgetår</f>
        <v>2024</v>
      </c>
      <c r="F72" s="2145" t="s">
        <v>1360</v>
      </c>
      <c r="G72" s="939"/>
      <c r="H72" s="947"/>
      <c r="I72" s="1062"/>
    </row>
    <row r="73" spans="1:9" ht="16">
      <c r="A73" s="1856">
        <v>1</v>
      </c>
      <c r="B73" s="1088"/>
      <c r="C73" s="1067" t="s">
        <v>78</v>
      </c>
      <c r="D73" s="1067"/>
      <c r="E73" s="2024"/>
      <c r="F73" s="2139"/>
      <c r="G73" s="939"/>
      <c r="H73" s="1060"/>
      <c r="I73" s="1061">
        <f t="shared" si="11"/>
        <v>0</v>
      </c>
    </row>
    <row r="74" spans="1:9" ht="16">
      <c r="A74" s="1856">
        <v>2</v>
      </c>
      <c r="B74" s="1088"/>
      <c r="C74" s="1010"/>
      <c r="D74" s="1067"/>
      <c r="E74" s="2024"/>
      <c r="F74" s="2139"/>
      <c r="G74" s="939"/>
      <c r="H74" s="1060"/>
      <c r="I74" s="1061">
        <f t="shared" si="11"/>
        <v>0</v>
      </c>
    </row>
    <row r="75" spans="1:9" ht="16">
      <c r="A75" s="1985" t="str">
        <f>"SUM, "&amp;LOWER(C72)</f>
        <v>SUM, repræsentation</v>
      </c>
      <c r="B75" s="1986"/>
      <c r="C75" s="2029"/>
      <c r="D75" s="2030">
        <f>SUM(D73:D74)</f>
        <v>0</v>
      </c>
      <c r="E75" s="2030">
        <f t="shared" ref="E75:F75" si="13">SUM(E73:E74)</f>
        <v>0</v>
      </c>
      <c r="F75" s="2030">
        <f t="shared" si="13"/>
        <v>0</v>
      </c>
      <c r="G75" s="939"/>
      <c r="H75" s="947"/>
      <c r="I75" s="1062"/>
    </row>
    <row r="76" spans="1:9" ht="16">
      <c r="A76" s="1963" t="s">
        <v>192</v>
      </c>
      <c r="B76" s="2031" t="str">
        <f>B72</f>
        <v>Kto. nr.</v>
      </c>
      <c r="C76" s="1979" t="s">
        <v>1021</v>
      </c>
      <c r="D76" s="1966">
        <f>budgetår-1</f>
        <v>2023</v>
      </c>
      <c r="E76" s="1999">
        <f>budgetår</f>
        <v>2024</v>
      </c>
      <c r="F76" s="2145" t="s">
        <v>1360</v>
      </c>
      <c r="G76" s="939"/>
      <c r="H76" s="947"/>
      <c r="I76" s="1062"/>
    </row>
    <row r="77" spans="1:9" ht="16">
      <c r="A77" s="1856">
        <v>1</v>
      </c>
      <c r="B77" s="1088"/>
      <c r="C77" s="936" t="s">
        <v>1022</v>
      </c>
      <c r="D77" s="936"/>
      <c r="E77" s="958"/>
      <c r="F77" s="2106"/>
      <c r="G77" s="939"/>
      <c r="H77" s="1060"/>
      <c r="I77" s="1061">
        <f t="shared" si="11"/>
        <v>0</v>
      </c>
    </row>
    <row r="78" spans="1:9" ht="16">
      <c r="A78" s="1856">
        <v>2</v>
      </c>
      <c r="B78" s="1088"/>
      <c r="C78" s="1010" t="s">
        <v>98</v>
      </c>
      <c r="D78" s="1010"/>
      <c r="E78" s="1998"/>
      <c r="F78" s="2139"/>
      <c r="G78" s="939"/>
      <c r="H78" s="1060"/>
      <c r="I78" s="1061">
        <f t="shared" si="11"/>
        <v>0</v>
      </c>
    </row>
    <row r="79" spans="1:9" s="3" customFormat="1" ht="16">
      <c r="A79" s="1856">
        <v>3</v>
      </c>
      <c r="B79" s="1088"/>
      <c r="C79" s="1010" t="s">
        <v>97</v>
      </c>
      <c r="D79" s="1010"/>
      <c r="E79" s="1998"/>
      <c r="F79" s="2139"/>
      <c r="G79" s="284"/>
      <c r="H79" s="1060"/>
      <c r="I79" s="1061">
        <f t="shared" si="11"/>
        <v>0</v>
      </c>
    </row>
    <row r="80" spans="1:9" ht="16">
      <c r="A80" s="1856">
        <v>4</v>
      </c>
      <c r="B80" s="1088"/>
      <c r="C80" s="936"/>
      <c r="D80" s="936"/>
      <c r="E80" s="958"/>
      <c r="F80" s="2106"/>
      <c r="G80" s="939"/>
      <c r="H80" s="1060"/>
      <c r="I80" s="1061">
        <f t="shared" si="11"/>
        <v>0</v>
      </c>
    </row>
    <row r="81" spans="1:9" ht="16">
      <c r="A81" s="1985" t="str">
        <f>"SUM, "&amp;LOWER(C76)</f>
        <v>SUM, kontorartikler, porto og telefon</v>
      </c>
      <c r="B81" s="1977"/>
      <c r="C81" s="2032"/>
      <c r="D81" s="1962">
        <f>SUM(D77:D80)</f>
        <v>0</v>
      </c>
      <c r="E81" s="1962">
        <f t="shared" ref="E81:F81" si="14">SUM(E77:E80)</f>
        <v>0</v>
      </c>
      <c r="F81" s="1962">
        <f t="shared" si="14"/>
        <v>0</v>
      </c>
      <c r="G81" s="939"/>
      <c r="H81" s="947"/>
      <c r="I81" s="1062"/>
    </row>
    <row r="82" spans="1:9" ht="17" thickBot="1">
      <c r="A82" s="1963" t="s">
        <v>192</v>
      </c>
      <c r="B82" s="2031" t="str">
        <f>B76</f>
        <v>Kto. nr.</v>
      </c>
      <c r="C82" s="1965" t="s">
        <v>1023</v>
      </c>
      <c r="D82" s="1966">
        <f>budgetår-1</f>
        <v>2023</v>
      </c>
      <c r="E82" s="1999">
        <f>budgetår</f>
        <v>2024</v>
      </c>
      <c r="F82" s="2145" t="s">
        <v>1360</v>
      </c>
      <c r="G82" s="939"/>
      <c r="H82" s="947"/>
      <c r="I82" s="1062"/>
    </row>
    <row r="83" spans="1:9" ht="51">
      <c r="A83" s="1856">
        <v>1</v>
      </c>
      <c r="B83" s="1088"/>
      <c r="C83" s="1068" t="s">
        <v>837</v>
      </c>
      <c r="D83" s="1069"/>
      <c r="E83" s="2023">
        <f>(elevtal_1*(DFkont+SatsBilag!B33)+SatsBilag!B34)</f>
        <v>8300</v>
      </c>
      <c r="F83" s="2298">
        <f>(Elevtal*(DFkont+SatsBilag!B33)+SatsBilag!B34)-E83</f>
        <v>0</v>
      </c>
      <c r="G83" s="939"/>
      <c r="H83" s="1060"/>
      <c r="I83" s="1061">
        <f t="shared" si="11"/>
        <v>0</v>
      </c>
    </row>
    <row r="84" spans="1:9" ht="16">
      <c r="A84" s="1856">
        <v>2</v>
      </c>
      <c r="B84" s="1088"/>
      <c r="C84" s="1070" t="s">
        <v>838</v>
      </c>
      <c r="D84" s="1069"/>
      <c r="E84" s="2023">
        <f>IF(AND(elevtal_1&gt;220),(elevtal_1-220)*(SatsBilag!B32-DFkont),0)</f>
        <v>0</v>
      </c>
      <c r="F84" s="2297">
        <f>IF(AND(Elevtal&gt;220),(Elevtal-220)*(SatsBilag!B32-DFkont)-E84,0)</f>
        <v>0</v>
      </c>
      <c r="G84" s="939"/>
      <c r="H84" s="1060"/>
      <c r="I84" s="1061">
        <f t="shared" si="11"/>
        <v>0</v>
      </c>
    </row>
    <row r="85" spans="1:9" ht="16">
      <c r="A85" s="1856">
        <v>5</v>
      </c>
      <c r="B85" s="1088"/>
      <c r="C85" s="1070" t="s">
        <v>1031</v>
      </c>
      <c r="D85" s="1069"/>
      <c r="E85" s="2023">
        <f>SatsBilag!B35*(Hovedskema!E8+Hovedskema!E9)</f>
        <v>0</v>
      </c>
      <c r="F85" s="2234">
        <f>SatsBilag!B35*(Hovedskema!F8+Hovedskema!F9)-E85</f>
        <v>0</v>
      </c>
      <c r="G85" s="939"/>
      <c r="H85" s="1060"/>
      <c r="I85" s="1061">
        <f t="shared" si="11"/>
        <v>0</v>
      </c>
    </row>
    <row r="86" spans="1:9" ht="17" thickBot="1">
      <c r="A86" s="1856">
        <v>7</v>
      </c>
      <c r="B86" s="1088"/>
      <c r="C86" s="1066"/>
      <c r="D86" s="1010"/>
      <c r="E86" s="2024"/>
      <c r="F86" s="2140"/>
      <c r="G86" s="939"/>
      <c r="H86" s="1060"/>
      <c r="I86" s="1061">
        <f t="shared" si="11"/>
        <v>0</v>
      </c>
    </row>
    <row r="87" spans="1:9" ht="16">
      <c r="A87" s="1985" t="str">
        <f>"SUM, "&amp;LOWER(C82)</f>
        <v>SUM, kontingent til skoleforeninger</v>
      </c>
      <c r="B87" s="1986"/>
      <c r="C87" s="2029"/>
      <c r="D87" s="2030">
        <f>SUM(D83:D86)</f>
        <v>0</v>
      </c>
      <c r="E87" s="2030">
        <f t="shared" ref="E87:F87" si="15">SUM(E83:E86)</f>
        <v>8300</v>
      </c>
      <c r="F87" s="2030">
        <f t="shared" si="15"/>
        <v>0</v>
      </c>
      <c r="G87" s="939"/>
      <c r="H87" s="947"/>
      <c r="I87" s="1062"/>
    </row>
    <row r="88" spans="1:9" ht="17" thickBot="1">
      <c r="A88" s="1963" t="s">
        <v>192</v>
      </c>
      <c r="B88" s="2031" t="str">
        <f>B82</f>
        <v>Kto. nr.</v>
      </c>
      <c r="C88" s="1965" t="s">
        <v>1142</v>
      </c>
      <c r="D88" s="1966">
        <f>budgetår-1</f>
        <v>2023</v>
      </c>
      <c r="E88" s="1999">
        <f>budgetår</f>
        <v>2024</v>
      </c>
      <c r="F88" s="2145" t="s">
        <v>1360</v>
      </c>
      <c r="G88" s="939"/>
      <c r="H88" s="947"/>
      <c r="I88" s="1062"/>
    </row>
    <row r="89" spans="1:9" ht="16">
      <c r="A89" s="1856">
        <v>1</v>
      </c>
      <c r="B89" s="1088"/>
      <c r="C89" s="1066" t="str">
        <f>Vik.kas&amp;" kr. pr. elev 5. sep."</f>
        <v>40 kr. pr. elev 5. sep.</v>
      </c>
      <c r="D89" s="1010"/>
      <c r="E89" s="2023">
        <f>(elevtal_1)*Vik.kas</f>
        <v>0</v>
      </c>
      <c r="F89" s="2236">
        <f>Elevtal*Vik.kas-E89</f>
        <v>0</v>
      </c>
      <c r="G89" s="939"/>
      <c r="H89" s="1060"/>
      <c r="I89" s="1061">
        <f t="shared" si="11"/>
        <v>0</v>
      </c>
    </row>
    <row r="90" spans="1:9" ht="17" thickBot="1">
      <c r="A90" s="1856">
        <v>2</v>
      </c>
      <c r="B90" s="1088"/>
      <c r="C90" s="1010"/>
      <c r="D90" s="1010"/>
      <c r="E90" s="1998"/>
      <c r="F90" s="2140"/>
      <c r="G90" s="939"/>
      <c r="H90" s="1060"/>
      <c r="I90" s="1061">
        <f t="shared" si="11"/>
        <v>0</v>
      </c>
    </row>
    <row r="91" spans="1:9" ht="16">
      <c r="A91" s="1985" t="str">
        <f>"SUM, "&amp;LOWER(C88)</f>
        <v>SUM, bidrag til fordelingssekretariatet</v>
      </c>
      <c r="B91" s="1986"/>
      <c r="C91" s="2029"/>
      <c r="D91" s="2030">
        <f>SUM(D89:D90)</f>
        <v>0</v>
      </c>
      <c r="E91" s="2030">
        <f t="shared" ref="E91:F91" si="16">SUM(E89:E90)</f>
        <v>0</v>
      </c>
      <c r="F91" s="2030">
        <f t="shared" si="16"/>
        <v>0</v>
      </c>
      <c r="G91" s="939"/>
      <c r="H91" s="947"/>
      <c r="I91" s="1062"/>
    </row>
    <row r="92" spans="1:9" ht="16">
      <c r="A92" s="1963" t="s">
        <v>192</v>
      </c>
      <c r="B92" s="2031" t="str">
        <f>B88</f>
        <v>Kto. nr.</v>
      </c>
      <c r="C92" s="1965" t="s">
        <v>94</v>
      </c>
      <c r="D92" s="1966">
        <f>budgetår-1</f>
        <v>2023</v>
      </c>
      <c r="E92" s="1999">
        <f>budgetår</f>
        <v>2024</v>
      </c>
      <c r="F92" s="2145" t="s">
        <v>1360</v>
      </c>
      <c r="G92" s="939"/>
      <c r="H92" s="947"/>
      <c r="I92" s="1062"/>
    </row>
    <row r="93" spans="1:9" ht="16">
      <c r="A93" s="1856">
        <v>1</v>
      </c>
      <c r="B93" s="1088"/>
      <c r="C93" s="1010" t="s">
        <v>95</v>
      </c>
      <c r="D93" s="1010"/>
      <c r="E93" s="1998"/>
      <c r="F93" s="2139"/>
      <c r="G93" s="939"/>
      <c r="H93" s="1060"/>
      <c r="I93" s="1061">
        <f t="shared" si="11"/>
        <v>0</v>
      </c>
    </row>
    <row r="94" spans="1:9" ht="16">
      <c r="A94" s="1856">
        <v>2</v>
      </c>
      <c r="B94" s="1088"/>
      <c r="C94" s="1010" t="s">
        <v>96</v>
      </c>
      <c r="D94" s="1010"/>
      <c r="E94" s="1998"/>
      <c r="F94" s="2139"/>
      <c r="G94" s="939"/>
      <c r="H94" s="1060"/>
      <c r="I94" s="1061">
        <f t="shared" si="11"/>
        <v>0</v>
      </c>
    </row>
    <row r="95" spans="1:9" ht="16">
      <c r="A95" s="1856">
        <v>3</v>
      </c>
      <c r="B95" s="1088"/>
      <c r="C95" s="1010" t="s">
        <v>99</v>
      </c>
      <c r="D95" s="1010"/>
      <c r="E95" s="1998"/>
      <c r="F95" s="2139"/>
      <c r="G95" s="939"/>
      <c r="H95" s="1060"/>
      <c r="I95" s="1061">
        <f t="shared" si="11"/>
        <v>0</v>
      </c>
    </row>
    <row r="96" spans="1:9" ht="16">
      <c r="A96" s="1856">
        <v>4</v>
      </c>
      <c r="B96" s="1088"/>
      <c r="C96" s="1010"/>
      <c r="D96" s="1010"/>
      <c r="E96" s="1998"/>
      <c r="F96" s="2139"/>
      <c r="G96" s="939"/>
      <c r="H96" s="1060"/>
      <c r="I96" s="1061">
        <f t="shared" si="11"/>
        <v>0</v>
      </c>
    </row>
    <row r="97" spans="1:9" ht="16">
      <c r="A97" s="1856">
        <v>5</v>
      </c>
      <c r="B97" s="1088"/>
      <c r="C97" s="1010"/>
      <c r="D97" s="1010"/>
      <c r="E97" s="1998"/>
      <c r="F97" s="2139"/>
      <c r="G97" s="939"/>
      <c r="H97" s="1060"/>
      <c r="I97" s="1061">
        <f t="shared" si="11"/>
        <v>0</v>
      </c>
    </row>
    <row r="98" spans="1:9" ht="16">
      <c r="A98" s="1985" t="str">
        <f>"SUM, "&amp;LOWER(C92)</f>
        <v>SUM, inventar og udstyr</v>
      </c>
      <c r="B98" s="1977"/>
      <c r="C98" s="2033"/>
      <c r="D98" s="2034">
        <f>SUM(D93:D97)</f>
        <v>0</v>
      </c>
      <c r="E98" s="2034">
        <f t="shared" ref="E98:F98" si="17">SUM(E93:E97)</f>
        <v>0</v>
      </c>
      <c r="F98" s="2034">
        <f t="shared" si="17"/>
        <v>0</v>
      </c>
      <c r="G98" s="939"/>
      <c r="H98" s="947"/>
      <c r="I98" s="1062"/>
    </row>
    <row r="99" spans="1:9" ht="16" customHeight="1">
      <c r="A99" s="1963" t="s">
        <v>192</v>
      </c>
      <c r="B99" s="2031" t="str">
        <f>B92</f>
        <v>Kto. nr.</v>
      </c>
      <c r="C99" s="1965" t="s">
        <v>946</v>
      </c>
      <c r="D99" s="1966">
        <f>budgetår-1</f>
        <v>2023</v>
      </c>
      <c r="E99" s="1999">
        <f>budgetår</f>
        <v>2024</v>
      </c>
      <c r="F99" s="2145" t="s">
        <v>1360</v>
      </c>
      <c r="G99" s="939"/>
      <c r="H99" s="947"/>
      <c r="I99" s="1062"/>
    </row>
    <row r="100" spans="1:9" ht="16">
      <c r="A100" s="1856">
        <v>1</v>
      </c>
      <c r="B100" s="1088"/>
      <c r="C100" s="1010" t="s">
        <v>1279</v>
      </c>
      <c r="D100" s="1010"/>
      <c r="E100" s="1998"/>
      <c r="F100" s="2139"/>
      <c r="G100" s="939"/>
      <c r="H100" s="1060"/>
      <c r="I100" s="1061">
        <f t="shared" si="11"/>
        <v>0</v>
      </c>
    </row>
    <row r="101" spans="1:9" ht="16">
      <c r="A101" s="1856">
        <v>2</v>
      </c>
      <c r="B101" s="1088"/>
      <c r="C101" s="1010" t="s">
        <v>1280</v>
      </c>
      <c r="D101" s="1010"/>
      <c r="E101" s="1998"/>
      <c r="F101" s="2139"/>
      <c r="G101" s="939"/>
      <c r="H101" s="1060"/>
      <c r="I101" s="1061">
        <f t="shared" si="11"/>
        <v>0</v>
      </c>
    </row>
    <row r="102" spans="1:9" ht="16">
      <c r="A102" s="1856">
        <v>3</v>
      </c>
      <c r="B102" s="1088"/>
      <c r="C102" s="1010" t="s">
        <v>1379</v>
      </c>
      <c r="D102" s="1010"/>
      <c r="E102" s="1998"/>
      <c r="F102" s="2139"/>
      <c r="G102" s="939"/>
      <c r="H102" s="1060"/>
      <c r="I102" s="1061">
        <f t="shared" si="11"/>
        <v>0</v>
      </c>
    </row>
    <row r="103" spans="1:9" ht="16">
      <c r="A103" s="1856">
        <v>4</v>
      </c>
      <c r="B103" s="1088"/>
      <c r="C103" s="1010" t="s">
        <v>1281</v>
      </c>
      <c r="D103" s="1010"/>
      <c r="E103" s="1998"/>
      <c r="F103" s="2139"/>
      <c r="G103" s="939"/>
      <c r="H103" s="1060"/>
      <c r="I103" s="1061">
        <f t="shared" si="11"/>
        <v>0</v>
      </c>
    </row>
    <row r="104" spans="1:9" ht="13" customHeight="1">
      <c r="A104" s="1856">
        <v>5</v>
      </c>
      <c r="B104" s="1088"/>
      <c r="C104" s="1010"/>
      <c r="D104" s="1010"/>
      <c r="E104" s="1998"/>
      <c r="F104" s="2139"/>
      <c r="G104" s="939"/>
      <c r="H104" s="1060"/>
      <c r="I104" s="1061">
        <f t="shared" si="11"/>
        <v>0</v>
      </c>
    </row>
    <row r="105" spans="1:9" ht="16">
      <c r="A105" s="1985" t="str">
        <f>"SUM, "&amp;LOWER(C99)</f>
        <v>SUM, it-omkostninger</v>
      </c>
      <c r="B105" s="1977"/>
      <c r="C105" s="2033"/>
      <c r="D105" s="2034">
        <f>SUM(D100:D104)</f>
        <v>0</v>
      </c>
      <c r="E105" s="2034">
        <f>SUM(E100:E104)</f>
        <v>0</v>
      </c>
      <c r="F105" s="2034">
        <f>SUM(F100:F104)</f>
        <v>0</v>
      </c>
      <c r="G105" s="939"/>
      <c r="H105" s="947"/>
      <c r="I105" s="1062"/>
    </row>
    <row r="106" spans="1:9" ht="16">
      <c r="A106" s="1963" t="s">
        <v>192</v>
      </c>
      <c r="B106" s="2031" t="str">
        <f>B99</f>
        <v>Kto. nr.</v>
      </c>
      <c r="C106" s="1979" t="s">
        <v>60</v>
      </c>
      <c r="D106" s="1966">
        <f>budgetår-1</f>
        <v>2023</v>
      </c>
      <c r="E106" s="1999">
        <f>budgetår</f>
        <v>2024</v>
      </c>
      <c r="F106" s="2145" t="s">
        <v>1360</v>
      </c>
      <c r="G106" s="939"/>
      <c r="H106" s="947"/>
      <c r="I106" s="1062"/>
    </row>
    <row r="107" spans="1:9" ht="16">
      <c r="A107" s="1856">
        <v>1</v>
      </c>
      <c r="B107" s="1088"/>
      <c r="C107" s="936" t="s">
        <v>4</v>
      </c>
      <c r="D107" s="936"/>
      <c r="E107" s="958"/>
      <c r="F107" s="2106"/>
      <c r="G107" s="939"/>
      <c r="H107" s="1060"/>
      <c r="I107" s="1061">
        <f t="shared" si="11"/>
        <v>0</v>
      </c>
    </row>
    <row r="108" spans="1:9" ht="16">
      <c r="A108" s="1856">
        <v>2</v>
      </c>
      <c r="B108" s="1088"/>
      <c r="C108" s="936"/>
      <c r="D108" s="936"/>
      <c r="E108" s="958"/>
      <c r="F108" s="2106"/>
      <c r="G108" s="939"/>
      <c r="H108" s="1060"/>
      <c r="I108" s="1061">
        <f t="shared" si="11"/>
        <v>0</v>
      </c>
    </row>
    <row r="109" spans="1:9" ht="16">
      <c r="A109" s="1985" t="str">
        <f>"SUM, "&amp;LOWER(C106)</f>
        <v>SUM, tab, debitorer</v>
      </c>
      <c r="B109" s="1977"/>
      <c r="C109" s="2032"/>
      <c r="D109" s="1962">
        <f>SUM(D107:D108)</f>
        <v>0</v>
      </c>
      <c r="E109" s="1962">
        <f t="shared" ref="E109:F109" si="18">SUM(E107:E108)</f>
        <v>0</v>
      </c>
      <c r="F109" s="1962">
        <f t="shared" si="18"/>
        <v>0</v>
      </c>
      <c r="G109" s="939"/>
      <c r="H109" s="947"/>
      <c r="I109" s="1062"/>
    </row>
    <row r="110" spans="1:9" ht="16">
      <c r="A110" s="1963" t="s">
        <v>192</v>
      </c>
      <c r="B110" s="2031" t="str">
        <f>B106</f>
        <v>Kto. nr.</v>
      </c>
      <c r="C110" s="1965" t="s">
        <v>124</v>
      </c>
      <c r="D110" s="1966">
        <f>budgetår-1</f>
        <v>2023</v>
      </c>
      <c r="E110" s="1999">
        <f>budgetår</f>
        <v>2024</v>
      </c>
      <c r="F110" s="2145" t="s">
        <v>1360</v>
      </c>
      <c r="G110" s="939"/>
      <c r="H110" s="947"/>
      <c r="I110" s="1062"/>
    </row>
    <row r="111" spans="1:9" ht="16">
      <c r="A111" s="1856">
        <v>1</v>
      </c>
      <c r="B111" s="1088"/>
      <c r="C111" s="935"/>
      <c r="D111" s="1017"/>
      <c r="E111" s="2000"/>
      <c r="F111" s="2113"/>
      <c r="G111" s="939"/>
      <c r="H111" s="1060"/>
      <c r="I111" s="1061">
        <f t="shared" si="11"/>
        <v>0</v>
      </c>
    </row>
    <row r="112" spans="1:9" ht="16">
      <c r="A112" s="1856">
        <v>2</v>
      </c>
      <c r="B112" s="1088"/>
      <c r="C112" s="935"/>
      <c r="D112" s="1017"/>
      <c r="E112" s="1018"/>
      <c r="F112" s="2113"/>
      <c r="G112" s="939"/>
      <c r="H112" s="1060"/>
      <c r="I112" s="1061">
        <f t="shared" si="11"/>
        <v>0</v>
      </c>
    </row>
    <row r="113" spans="1:9" ht="16">
      <c r="A113" s="1985" t="s">
        <v>1375</v>
      </c>
      <c r="B113" s="1986"/>
      <c r="C113" s="2035"/>
      <c r="D113" s="2030">
        <f>SUM(D111:D112)</f>
        <v>0</v>
      </c>
      <c r="E113" s="2030">
        <f t="shared" ref="E113:F113" si="19">SUM(E111:E112)</f>
        <v>0</v>
      </c>
      <c r="F113" s="2030">
        <f t="shared" si="19"/>
        <v>0</v>
      </c>
      <c r="G113" s="939"/>
      <c r="H113" s="947"/>
      <c r="I113" s="1062"/>
    </row>
    <row r="114" spans="1:9" ht="16">
      <c r="A114" s="1963" t="s">
        <v>192</v>
      </c>
      <c r="B114" s="2031" t="str">
        <f>B110</f>
        <v>Kto. nr.</v>
      </c>
      <c r="C114" s="1965" t="s">
        <v>183</v>
      </c>
      <c r="D114" s="1966">
        <f>budgetår-1</f>
        <v>2023</v>
      </c>
      <c r="E114" s="1999">
        <f>budgetår</f>
        <v>2024</v>
      </c>
      <c r="F114" s="2145" t="s">
        <v>1360</v>
      </c>
      <c r="G114" s="939"/>
      <c r="H114" s="947"/>
      <c r="I114" s="1062"/>
    </row>
    <row r="115" spans="1:9" ht="16">
      <c r="A115" s="1856">
        <v>1</v>
      </c>
      <c r="B115" s="1088"/>
      <c r="C115" s="1010" t="s">
        <v>1282</v>
      </c>
      <c r="D115" s="1010"/>
      <c r="E115" s="1998"/>
      <c r="F115" s="2139"/>
      <c r="G115" s="939"/>
      <c r="H115" s="1060"/>
      <c r="I115" s="1061">
        <f t="shared" si="11"/>
        <v>0</v>
      </c>
    </row>
    <row r="116" spans="1:9" ht="16">
      <c r="A116" s="1856">
        <v>2</v>
      </c>
      <c r="B116" s="1088"/>
      <c r="C116" s="1010"/>
      <c r="D116" s="1010"/>
      <c r="E116" s="1998"/>
      <c r="F116" s="2139"/>
      <c r="G116" s="939"/>
      <c r="H116" s="1060"/>
      <c r="I116" s="1061">
        <f t="shared" si="11"/>
        <v>0</v>
      </c>
    </row>
    <row r="117" spans="1:9" ht="16">
      <c r="A117" s="1856">
        <v>3</v>
      </c>
      <c r="B117" s="1088"/>
      <c r="C117" s="1010"/>
      <c r="D117" s="1010"/>
      <c r="E117" s="1998"/>
      <c r="F117" s="2139"/>
      <c r="G117" s="939"/>
      <c r="H117" s="1060"/>
      <c r="I117" s="1061">
        <f t="shared" si="11"/>
        <v>0</v>
      </c>
    </row>
    <row r="118" spans="1:9" ht="16">
      <c r="A118" s="1856">
        <v>4</v>
      </c>
      <c r="B118" s="1088"/>
      <c r="C118" s="1010"/>
      <c r="D118" s="1010"/>
      <c r="E118" s="1998"/>
      <c r="F118" s="2139"/>
      <c r="G118" s="939"/>
      <c r="H118" s="1060"/>
      <c r="I118" s="1061">
        <f t="shared" si="11"/>
        <v>0</v>
      </c>
    </row>
    <row r="119" spans="1:9" ht="16">
      <c r="A119" s="1856">
        <v>5</v>
      </c>
      <c r="B119" s="1088"/>
      <c r="C119" s="1010"/>
      <c r="D119" s="1010"/>
      <c r="E119" s="1998"/>
      <c r="F119" s="2139"/>
      <c r="G119" s="939"/>
      <c r="H119" s="1060"/>
      <c r="I119" s="1061">
        <f t="shared" si="11"/>
        <v>0</v>
      </c>
    </row>
    <row r="120" spans="1:9" ht="16">
      <c r="A120" s="1856">
        <v>6</v>
      </c>
      <c r="B120" s="1088"/>
      <c r="C120" s="1010"/>
      <c r="D120" s="1010"/>
      <c r="E120" s="1998"/>
      <c r="F120" s="2139"/>
      <c r="G120" s="939"/>
      <c r="H120" s="1060"/>
      <c r="I120" s="1061">
        <f t="shared" si="11"/>
        <v>0</v>
      </c>
    </row>
    <row r="121" spans="1:9" ht="17" thickBot="1">
      <c r="A121" s="1856">
        <v>7</v>
      </c>
      <c r="B121" s="1098"/>
      <c r="C121" s="1071"/>
      <c r="D121" s="1010"/>
      <c r="E121" s="1998"/>
      <c r="F121" s="2140"/>
      <c r="G121" s="939"/>
      <c r="H121" s="1060"/>
      <c r="I121" s="1061">
        <f t="shared" si="11"/>
        <v>0</v>
      </c>
    </row>
    <row r="122" spans="1:9" ht="17" thickBot="1">
      <c r="A122" s="1976" t="str">
        <f>"SUM, "&amp;LOWER(C114)</f>
        <v>SUM, øvrige omkostninger</v>
      </c>
      <c r="B122" s="1977"/>
      <c r="C122" s="2033"/>
      <c r="D122" s="2034">
        <f>SUM(D115:D121)</f>
        <v>0</v>
      </c>
      <c r="E122" s="2034">
        <f t="shared" ref="E122:F122" si="20">SUM(E115:E121)</f>
        <v>0</v>
      </c>
      <c r="F122" s="2034">
        <f t="shared" si="20"/>
        <v>0</v>
      </c>
      <c r="G122" s="939"/>
      <c r="H122" s="3258" t="s">
        <v>1152</v>
      </c>
      <c r="I122" s="3252">
        <f>SUM(I4:I121)</f>
        <v>0</v>
      </c>
    </row>
    <row r="123" spans="1:9" ht="17" thickBot="1">
      <c r="A123" s="2036" t="str">
        <f>"Administration i alt til hovedskema lin. 63"</f>
        <v>Administration i alt til hovedskema lin. 63</v>
      </c>
      <c r="B123" s="2037"/>
      <c r="C123" s="2038"/>
      <c r="D123" s="2039"/>
      <c r="E123" s="2040"/>
      <c r="F123" s="2041">
        <f>E122+E109+E105+E98+E91+E87+E81+E75+E71+E62+E58+E51+E43+E35+E31+E23+E15+E11+E6</f>
        <v>18761.605</v>
      </c>
      <c r="G123" s="939"/>
      <c r="H123" s="3259"/>
      <c r="I123" s="3253"/>
    </row>
    <row r="124" spans="1:9" ht="20" customHeight="1">
      <c r="A124" s="2070"/>
      <c r="B124" s="2071" t="str">
        <f>"Ændringer administrationsudgifter"&amp;E114+1&amp;" total i forhold til "&amp;E114&amp;":"</f>
        <v>Ændringer administrationsudgifter2025 total i forhold til 2024:</v>
      </c>
      <c r="C124" s="2072"/>
      <c r="D124" s="2072"/>
      <c r="E124" s="2072"/>
      <c r="F124" s="2072">
        <f>SUM(F115:F121)+SUM(F107:F108)+SUM(F100:F104)+SUM(F93:F97)+SUM(F89:F90)+SUM(F83:F86)+SUM(F77:F80)+SUM(F73:F74)+SUM(F64:F70)+SUM(F60:F61)+SUM(F53:F57)+SUM(F45:F50)+SUM(F37:F42)+SUM(F33:F34)+SUM(F25:F30)+SUM(F17:F22)+SUM(F13:F14)+SUM(F8:F10)+SUM(F4:F5)</f>
        <v>-10461.605</v>
      </c>
      <c r="G124" s="939"/>
      <c r="H124" s="939"/>
      <c r="I124" s="939"/>
    </row>
    <row r="125" spans="1:9" ht="22" customHeight="1">
      <c r="A125" s="2073"/>
      <c r="B125" s="2071" t="str">
        <f>"Ændringer afskrivninger "&amp;E114+1&amp;" total i forhold til "&amp;E114&amp;":"</f>
        <v>Ændringer afskrivninger 2025 total i forhold til 2024:</v>
      </c>
      <c r="C125" s="1909"/>
      <c r="D125" s="1909"/>
      <c r="E125" s="1909"/>
      <c r="F125" s="1909">
        <f>SUM(F111:F112)</f>
        <v>0</v>
      </c>
      <c r="G125" s="939"/>
      <c r="H125" s="939"/>
      <c r="I125" s="939"/>
    </row>
    <row r="126" spans="1:9" ht="17" thickBot="1">
      <c r="A126" s="984"/>
      <c r="B126" s="1072"/>
      <c r="C126" s="939"/>
      <c r="D126" s="939"/>
      <c r="E126" s="939"/>
      <c r="F126" s="939"/>
      <c r="G126" s="939"/>
      <c r="H126" s="939"/>
      <c r="I126" s="939"/>
    </row>
    <row r="127" spans="1:9" ht="17" thickBot="1">
      <c r="A127" s="1073"/>
      <c r="B127" s="1074"/>
      <c r="C127" s="939"/>
      <c r="D127" s="939"/>
      <c r="E127" s="939"/>
      <c r="F127" s="939"/>
      <c r="G127" s="939"/>
      <c r="H127" s="3260" t="s">
        <v>994</v>
      </c>
      <c r="I127" s="3261"/>
    </row>
    <row r="128" spans="1:9" ht="16">
      <c r="A128" s="2009" t="s">
        <v>192</v>
      </c>
      <c r="B128" s="2042" t="str">
        <f>B114</f>
        <v>Kto. nr.</v>
      </c>
      <c r="C128" s="2043" t="s">
        <v>1026</v>
      </c>
      <c r="D128" s="1958">
        <f>budgetår-1</f>
        <v>2023</v>
      </c>
      <c r="E128" s="1949">
        <f>budgetår</f>
        <v>2024</v>
      </c>
      <c r="F128" s="2141" t="s">
        <v>1360</v>
      </c>
      <c r="G128" s="939"/>
      <c r="H128" s="1075" t="s">
        <v>985</v>
      </c>
      <c r="I128" s="1076" t="s">
        <v>986</v>
      </c>
    </row>
    <row r="129" spans="1:9" ht="16">
      <c r="A129" s="2012">
        <v>1</v>
      </c>
      <c r="B129" s="2013"/>
      <c r="C129" s="2014" t="s">
        <v>1112</v>
      </c>
      <c r="D129" s="1967"/>
      <c r="E129" s="1948"/>
      <c r="F129" s="2106"/>
      <c r="G129" s="939"/>
      <c r="H129" s="1060"/>
      <c r="I129" s="1061">
        <f>E129*H129</f>
        <v>0</v>
      </c>
    </row>
    <row r="130" spans="1:9" ht="16">
      <c r="A130" s="2044">
        <v>2</v>
      </c>
      <c r="B130" s="1099"/>
      <c r="C130" s="935" t="s">
        <v>43</v>
      </c>
      <c r="D130" s="936"/>
      <c r="E130" s="958"/>
      <c r="F130" s="2106"/>
      <c r="G130" s="939"/>
      <c r="H130" s="1147"/>
      <c r="I130" s="1061">
        <f t="shared" ref="I130:I132" si="21">E130*H130</f>
        <v>0</v>
      </c>
    </row>
    <row r="131" spans="1:9" ht="16">
      <c r="A131" s="2044">
        <v>3</v>
      </c>
      <c r="B131" s="1099"/>
      <c r="C131" s="935" t="s">
        <v>267</v>
      </c>
      <c r="D131" s="936"/>
      <c r="E131" s="958"/>
      <c r="F131" s="2106"/>
      <c r="G131" s="939"/>
      <c r="H131" s="1060"/>
      <c r="I131" s="1061">
        <f t="shared" si="21"/>
        <v>0</v>
      </c>
    </row>
    <row r="132" spans="1:9" ht="17" thickBot="1">
      <c r="A132" s="2045">
        <v>4</v>
      </c>
      <c r="B132" s="1100"/>
      <c r="C132" s="1077" t="s">
        <v>44</v>
      </c>
      <c r="D132" s="978"/>
      <c r="E132" s="977"/>
      <c r="F132" s="2106"/>
      <c r="G132" s="939"/>
      <c r="H132" s="1060"/>
      <c r="I132" s="1061">
        <f t="shared" si="21"/>
        <v>0</v>
      </c>
    </row>
    <row r="133" spans="1:9" ht="17" thickBot="1">
      <c r="A133" s="2046" t="s">
        <v>296</v>
      </c>
      <c r="B133" s="2047"/>
      <c r="C133" s="2048" t="s">
        <v>1026</v>
      </c>
      <c r="D133" s="2049">
        <f>SUM(D129:D132)</f>
        <v>0</v>
      </c>
      <c r="E133" s="2049">
        <f t="shared" ref="E133:F133" si="22">SUM(E129:E132)</f>
        <v>0</v>
      </c>
      <c r="F133" s="2049">
        <f t="shared" si="22"/>
        <v>0</v>
      </c>
      <c r="G133" s="939"/>
      <c r="H133" s="944" t="s">
        <v>1150</v>
      </c>
      <c r="I133" s="1148">
        <f>SUM(I129:I132)</f>
        <v>0</v>
      </c>
    </row>
    <row r="134" spans="1:9" ht="16">
      <c r="A134" s="2050" t="s">
        <v>192</v>
      </c>
      <c r="B134" s="2051" t="str">
        <f>B128</f>
        <v>Kto. nr.</v>
      </c>
      <c r="C134" s="2052" t="s">
        <v>203</v>
      </c>
      <c r="D134" s="2053">
        <f>budgetår-1</f>
        <v>2023</v>
      </c>
      <c r="E134" s="2146">
        <f>budgetår</f>
        <v>2024</v>
      </c>
      <c r="F134" s="2147" t="s">
        <v>1360</v>
      </c>
      <c r="G134" s="939"/>
      <c r="H134" s="947"/>
      <c r="I134" s="1062"/>
    </row>
    <row r="135" spans="1:9" ht="16">
      <c r="A135" s="2054">
        <v>2</v>
      </c>
      <c r="B135" s="2055"/>
      <c r="C135" s="2056" t="s">
        <v>112</v>
      </c>
      <c r="D135" s="1967"/>
      <c r="E135" s="2020">
        <f>'Prio-renter'!K6</f>
        <v>0</v>
      </c>
      <c r="F135" s="2148">
        <f>'Prio-renter'!M6</f>
        <v>0</v>
      </c>
      <c r="G135" s="939"/>
      <c r="H135" s="1060"/>
      <c r="I135" s="1061">
        <f>E135*H135</f>
        <v>0</v>
      </c>
    </row>
    <row r="136" spans="1:9" ht="16">
      <c r="A136" s="1856">
        <v>3</v>
      </c>
      <c r="B136" s="1088"/>
      <c r="C136" s="1041" t="s">
        <v>159</v>
      </c>
      <c r="D136" s="1078"/>
      <c r="E136" s="2021">
        <f>'Prio-renter'!K11</f>
        <v>0</v>
      </c>
      <c r="F136" s="2148">
        <f>'Prio-renter'!M11</f>
        <v>0</v>
      </c>
      <c r="G136" s="939"/>
      <c r="H136" s="1060"/>
      <c r="I136" s="1061">
        <f>E136*H136</f>
        <v>0</v>
      </c>
    </row>
    <row r="137" spans="1:9" ht="16">
      <c r="A137" s="1856">
        <v>4</v>
      </c>
      <c r="B137" s="1088"/>
      <c r="C137" s="1041" t="s">
        <v>87</v>
      </c>
      <c r="D137" s="1041"/>
      <c r="E137" s="2021">
        <f>'Prio-renter'!K17</f>
        <v>0</v>
      </c>
      <c r="F137" s="2148">
        <f>'Prio-renter'!M17</f>
        <v>0</v>
      </c>
      <c r="G137" s="939"/>
      <c r="H137" s="1060"/>
      <c r="I137" s="1061">
        <f>E137*H137</f>
        <v>0</v>
      </c>
    </row>
    <row r="138" spans="1:9" ht="16">
      <c r="A138" s="1893">
        <v>5</v>
      </c>
      <c r="B138" s="1089"/>
      <c r="C138" s="1044" t="s">
        <v>308</v>
      </c>
      <c r="D138" s="1044"/>
      <c r="E138" s="2022">
        <f>'Prio-renter'!K23</f>
        <v>0</v>
      </c>
      <c r="F138" s="2148">
        <f>'Prio-renter'!M23</f>
        <v>0</v>
      </c>
      <c r="G138" s="939"/>
      <c r="H138" s="1060"/>
      <c r="I138" s="1061">
        <f>E138*H138</f>
        <v>0</v>
      </c>
    </row>
    <row r="139" spans="1:9" ht="16">
      <c r="A139" s="2057" t="str">
        <f>"SUM, "&amp;LOWER(C134)&amp;" "</f>
        <v xml:space="preserve">SUM, prioritetsrenter </v>
      </c>
      <c r="B139" s="2058"/>
      <c r="C139" s="2059"/>
      <c r="D139" s="1962">
        <f>SUM(D135:D138)</f>
        <v>0</v>
      </c>
      <c r="E139" s="1962">
        <f t="shared" ref="E139:F139" si="23">SUM(E135:E138)</f>
        <v>0</v>
      </c>
      <c r="F139" s="1962">
        <f t="shared" si="23"/>
        <v>0</v>
      </c>
      <c r="G139" s="939"/>
      <c r="H139" s="944" t="s">
        <v>1150</v>
      </c>
      <c r="I139" s="1148">
        <f>SUM(I135:I138)</f>
        <v>0</v>
      </c>
    </row>
    <row r="140" spans="1:9" ht="16">
      <c r="A140" s="1963" t="s">
        <v>192</v>
      </c>
      <c r="B140" s="2060" t="str">
        <f>B134</f>
        <v>Kto. nr.</v>
      </c>
      <c r="C140" s="1979" t="s">
        <v>150</v>
      </c>
      <c r="D140" s="1966">
        <f>budgetår-1</f>
        <v>2023</v>
      </c>
      <c r="E140" s="1999">
        <f>budgetår</f>
        <v>2024</v>
      </c>
      <c r="F140" s="2149" t="s">
        <v>1360</v>
      </c>
      <c r="G140" s="939"/>
      <c r="H140" s="947"/>
      <c r="I140" s="1062">
        <f>E140*H140</f>
        <v>0</v>
      </c>
    </row>
    <row r="141" spans="1:9" ht="16">
      <c r="A141" s="2054">
        <v>1</v>
      </c>
      <c r="B141" s="2055"/>
      <c r="C141" s="2061"/>
      <c r="D141" s="1967"/>
      <c r="E141" s="1948"/>
      <c r="F141" s="2106"/>
      <c r="G141" s="939"/>
      <c r="H141" s="1060"/>
      <c r="I141" s="1061">
        <f>E141*H141</f>
        <v>0</v>
      </c>
    </row>
    <row r="142" spans="1:9" ht="16">
      <c r="A142" s="1893">
        <v>2</v>
      </c>
      <c r="B142" s="1089"/>
      <c r="C142" s="1079" t="s">
        <v>1283</v>
      </c>
      <c r="D142" s="1079"/>
      <c r="E142" s="1832"/>
      <c r="F142" s="2106"/>
      <c r="G142" s="939"/>
      <c r="H142" s="1060"/>
      <c r="I142" s="1061">
        <f>E142*H142</f>
        <v>0</v>
      </c>
    </row>
    <row r="143" spans="1:9" ht="16">
      <c r="A143" s="2057" t="str">
        <f>"SUM, "&amp;LOWER(C140)&amp;" "</f>
        <v xml:space="preserve">SUM, kassekredit </v>
      </c>
      <c r="B143" s="2062"/>
      <c r="C143" s="2063"/>
      <c r="D143" s="1962">
        <f>SUM(D141:D142)</f>
        <v>0</v>
      </c>
      <c r="E143" s="1962">
        <f t="shared" ref="E143:F143" si="24">SUM(E141:E142)</f>
        <v>0</v>
      </c>
      <c r="F143" s="1962">
        <f t="shared" si="24"/>
        <v>0</v>
      </c>
      <c r="G143" s="939"/>
      <c r="H143" s="947"/>
      <c r="I143" s="1062"/>
    </row>
    <row r="144" spans="1:9" ht="16">
      <c r="A144" s="1963" t="s">
        <v>192</v>
      </c>
      <c r="B144" s="2060" t="str">
        <f>B140</f>
        <v>Kto. nr.</v>
      </c>
      <c r="C144" s="1965" t="s">
        <v>31</v>
      </c>
      <c r="D144" s="1966">
        <f>budgetår-1</f>
        <v>2023</v>
      </c>
      <c r="E144" s="1999">
        <f>budgetår</f>
        <v>2024</v>
      </c>
      <c r="F144" s="2149" t="s">
        <v>1360</v>
      </c>
      <c r="G144" s="939"/>
      <c r="H144" s="947"/>
      <c r="I144" s="1062"/>
    </row>
    <row r="145" spans="1:9" ht="16">
      <c r="A145" s="2054">
        <v>1</v>
      </c>
      <c r="B145" s="2055"/>
      <c r="C145" s="1967" t="s">
        <v>32</v>
      </c>
      <c r="D145" s="1967"/>
      <c r="E145" s="1948"/>
      <c r="F145" s="2106"/>
      <c r="G145" s="939"/>
      <c r="H145" s="1060"/>
      <c r="I145" s="1061">
        <f>E145*H145</f>
        <v>0</v>
      </c>
    </row>
    <row r="146" spans="1:9" ht="16">
      <c r="A146" s="1893">
        <v>2</v>
      </c>
      <c r="B146" s="1089"/>
      <c r="C146" s="1079" t="s">
        <v>33</v>
      </c>
      <c r="D146" s="1079"/>
      <c r="E146" s="1832"/>
      <c r="F146" s="2106"/>
      <c r="G146" s="939"/>
      <c r="H146" s="1060"/>
      <c r="I146" s="1061">
        <f>E146*H146</f>
        <v>0</v>
      </c>
    </row>
    <row r="147" spans="1:9" ht="16">
      <c r="A147" s="2057" t="str">
        <f>"SUM, "&amp;LOWER(C144)&amp;" "</f>
        <v xml:space="preserve">SUM, morarenter m.v. </v>
      </c>
      <c r="B147" s="2062"/>
      <c r="C147" s="2063"/>
      <c r="D147" s="1962">
        <f>SUM(D145:D146)</f>
        <v>0</v>
      </c>
      <c r="E147" s="1962">
        <f t="shared" ref="E147:F147" si="25">SUM(E145:E146)</f>
        <v>0</v>
      </c>
      <c r="F147" s="1962">
        <f t="shared" si="25"/>
        <v>0</v>
      </c>
      <c r="G147" s="939"/>
      <c r="H147" s="947"/>
      <c r="I147" s="1062"/>
    </row>
    <row r="148" spans="1:9" ht="16">
      <c r="A148" s="1963" t="s">
        <v>192</v>
      </c>
      <c r="B148" s="2060" t="str">
        <f>B144</f>
        <v>Kto. nr.</v>
      </c>
      <c r="C148" s="1965" t="s">
        <v>72</v>
      </c>
      <c r="D148" s="1966">
        <f>budgetår-1</f>
        <v>2023</v>
      </c>
      <c r="E148" s="1999">
        <f>budgetår</f>
        <v>2024</v>
      </c>
      <c r="F148" s="2149" t="s">
        <v>1360</v>
      </c>
      <c r="G148" s="939"/>
      <c r="H148" s="947"/>
      <c r="I148" s="1062"/>
    </row>
    <row r="149" spans="1:9" ht="16">
      <c r="A149" s="2054">
        <v>1</v>
      </c>
      <c r="B149" s="2055"/>
      <c r="C149" s="1967" t="s">
        <v>41</v>
      </c>
      <c r="D149" s="1967"/>
      <c r="E149" s="1948"/>
      <c r="F149" s="2106"/>
      <c r="G149" s="939"/>
      <c r="H149" s="1080"/>
      <c r="I149" s="1061">
        <f>E149*H149</f>
        <v>0</v>
      </c>
    </row>
    <row r="150" spans="1:9" ht="17" thickBot="1">
      <c r="A150" s="1893">
        <v>2</v>
      </c>
      <c r="B150" s="1089"/>
      <c r="C150" s="1079" t="s">
        <v>42</v>
      </c>
      <c r="D150" s="1079"/>
      <c r="E150" s="1832"/>
      <c r="F150" s="2110"/>
      <c r="G150" s="939"/>
      <c r="H150" s="1080"/>
      <c r="I150" s="1061">
        <f>E150*H150</f>
        <v>0</v>
      </c>
    </row>
    <row r="151" spans="1:9" ht="17" thickBot="1">
      <c r="A151" s="2064" t="str">
        <f>"SUM, "&amp;LOWER(C148)&amp;" "</f>
        <v xml:space="preserve">SUM, kurstab </v>
      </c>
      <c r="B151" s="2062"/>
      <c r="C151" s="2063"/>
      <c r="D151" s="1962">
        <f>SUM(D149:D150)</f>
        <v>0</v>
      </c>
      <c r="E151" s="1962">
        <f t="shared" ref="E151:F151" si="26">SUM(E149:E150)</f>
        <v>0</v>
      </c>
      <c r="F151" s="1962">
        <f t="shared" si="26"/>
        <v>0</v>
      </c>
      <c r="G151" s="939"/>
      <c r="H151" s="3250" t="s">
        <v>1153</v>
      </c>
      <c r="I151" s="3252">
        <f>SUM(I141:I150)</f>
        <v>0</v>
      </c>
    </row>
    <row r="152" spans="1:9" ht="17" thickBot="1">
      <c r="A152" s="2065"/>
      <c r="B152" s="2066"/>
      <c r="C152" s="2067"/>
      <c r="D152" s="2067"/>
      <c r="E152" s="2068"/>
      <c r="F152" s="2069">
        <f>F139+F143+F147+F151</f>
        <v>0</v>
      </c>
      <c r="G152" s="939"/>
      <c r="H152" s="3251"/>
      <c r="I152" s="3253"/>
    </row>
    <row r="153" spans="1:9" ht="16">
      <c r="A153" s="964"/>
      <c r="B153" s="1055"/>
      <c r="C153" s="939"/>
      <c r="D153" s="939"/>
      <c r="E153" s="939"/>
      <c r="F153" s="939"/>
      <c r="G153" s="939"/>
      <c r="H153" s="939"/>
      <c r="I153" s="939"/>
    </row>
    <row r="154" spans="1:9" ht="17" thickBot="1">
      <c r="A154" s="1073"/>
      <c r="B154" s="1074"/>
      <c r="C154" s="939"/>
      <c r="D154" s="939"/>
      <c r="E154" s="939"/>
      <c r="F154" s="939"/>
      <c r="G154" s="939"/>
      <c r="H154" s="939"/>
      <c r="I154" s="939"/>
    </row>
    <row r="155" spans="1:9" ht="16">
      <c r="A155" s="2009" t="s">
        <v>192</v>
      </c>
      <c r="B155" s="2010" t="str">
        <f>B148</f>
        <v>Kto. nr.</v>
      </c>
      <c r="C155" s="2011" t="s">
        <v>1027</v>
      </c>
      <c r="D155" s="1958">
        <f>budgetår-1</f>
        <v>2023</v>
      </c>
      <c r="E155" s="1949">
        <f>budgetår</f>
        <v>2024</v>
      </c>
      <c r="F155" s="2138" t="s">
        <v>1360</v>
      </c>
      <c r="G155" s="939"/>
      <c r="H155" s="939"/>
      <c r="I155" s="939"/>
    </row>
    <row r="156" spans="1:9" ht="16">
      <c r="A156" s="2012">
        <v>1</v>
      </c>
      <c r="B156" s="2013"/>
      <c r="C156" s="2014"/>
      <c r="D156" s="1967"/>
      <c r="E156" s="1948"/>
      <c r="F156" s="2106"/>
      <c r="G156" s="939"/>
      <c r="H156" s="939"/>
      <c r="I156" s="939"/>
    </row>
    <row r="157" spans="1:9" ht="17" thickBot="1">
      <c r="A157" s="2045">
        <v>2</v>
      </c>
      <c r="B157" s="1100"/>
      <c r="C157" s="1077"/>
      <c r="D157" s="978"/>
      <c r="E157" s="977"/>
      <c r="F157" s="2106"/>
      <c r="G157" s="939"/>
      <c r="H157" s="939"/>
      <c r="I157" s="939"/>
    </row>
    <row r="158" spans="1:9" ht="17" thickBot="1">
      <c r="A158" s="2092" t="str">
        <f>"SUM, "&amp;LOWER(C155)&amp;" . "</f>
        <v xml:space="preserve">SUM, særlige indtægter . </v>
      </c>
      <c r="B158" s="2093"/>
      <c r="C158" s="2094"/>
      <c r="D158" s="2095">
        <f>SUM(D156:D157)</f>
        <v>0</v>
      </c>
      <c r="E158" s="2095">
        <f t="shared" ref="E158:F158" si="27">SUM(E156:E157)</f>
        <v>0</v>
      </c>
      <c r="F158" s="2095">
        <f t="shared" si="27"/>
        <v>0</v>
      </c>
      <c r="G158" s="939"/>
      <c r="H158" s="939"/>
      <c r="I158" s="939"/>
    </row>
    <row r="159" spans="1:9" ht="15" customHeight="1" thickBot="1">
      <c r="A159" s="939"/>
      <c r="B159" s="1055"/>
      <c r="C159" s="939"/>
      <c r="D159" s="939"/>
      <c r="E159" s="939"/>
      <c r="F159" s="2151"/>
      <c r="G159" s="939"/>
      <c r="H159" s="939"/>
      <c r="I159" s="939"/>
    </row>
    <row r="160" spans="1:9" ht="16">
      <c r="A160" s="2009" t="s">
        <v>192</v>
      </c>
      <c r="B160" s="2010" t="str">
        <f>B155</f>
        <v>Kto. nr.</v>
      </c>
      <c r="C160" s="2011" t="s">
        <v>1028</v>
      </c>
      <c r="D160" s="1958">
        <f>budgetår-1</f>
        <v>2023</v>
      </c>
      <c r="E160" s="2150">
        <f>budgetår</f>
        <v>2024</v>
      </c>
      <c r="F160" s="2152" t="s">
        <v>1360</v>
      </c>
      <c r="G160" s="939"/>
      <c r="H160" s="939"/>
      <c r="I160" s="939"/>
    </row>
    <row r="161" spans="1:9" ht="16">
      <c r="A161" s="2012">
        <v>1</v>
      </c>
      <c r="B161" s="2013"/>
      <c r="C161" s="2014"/>
      <c r="D161" s="1967"/>
      <c r="E161" s="1948"/>
      <c r="F161" s="2106"/>
      <c r="G161" s="939"/>
      <c r="H161" s="939"/>
      <c r="I161" s="939"/>
    </row>
    <row r="162" spans="1:9" ht="17" thickBot="1">
      <c r="A162" s="2015">
        <v>4</v>
      </c>
      <c r="B162" s="1101"/>
      <c r="C162" s="1071"/>
      <c r="D162" s="1079"/>
      <c r="E162" s="1832"/>
      <c r="F162" s="2110"/>
      <c r="G162" s="939"/>
      <c r="H162" s="939"/>
      <c r="I162" s="939"/>
    </row>
    <row r="163" spans="1:9" ht="17" thickBot="1">
      <c r="A163" s="2016" t="str">
        <f>"SUM, "&amp;LOWER(C160)&amp;". "</f>
        <v xml:space="preserve">SUM, særlige udgifter. </v>
      </c>
      <c r="B163" s="2017"/>
      <c r="C163" s="2018"/>
      <c r="D163" s="2019">
        <f>SUM(D161:D162)</f>
        <v>0</v>
      </c>
      <c r="E163" s="2019">
        <f t="shared" ref="E163:F163" si="28">SUM(E161:E162)</f>
        <v>0</v>
      </c>
      <c r="F163" s="2019">
        <f t="shared" si="28"/>
        <v>0</v>
      </c>
      <c r="G163" s="939"/>
      <c r="H163" s="939"/>
      <c r="I163" s="939"/>
    </row>
    <row r="164" spans="1:9" ht="16">
      <c r="A164" s="939"/>
      <c r="B164" s="1055"/>
      <c r="C164" s="939"/>
      <c r="D164" s="939"/>
      <c r="E164" s="939"/>
      <c r="F164" s="939"/>
      <c r="G164" s="939"/>
      <c r="H164" s="939"/>
      <c r="I164" s="939"/>
    </row>
    <row r="165" spans="1:9" ht="16">
      <c r="A165" s="964"/>
      <c r="B165" s="1055"/>
      <c r="C165" s="939"/>
      <c r="D165" s="939"/>
      <c r="E165" s="939"/>
      <c r="F165" s="939"/>
      <c r="G165" s="939"/>
      <c r="H165" s="939"/>
      <c r="I165" s="939"/>
    </row>
    <row r="166" spans="1:9" ht="16">
      <c r="A166" s="964"/>
      <c r="B166" s="1055"/>
      <c r="C166" s="939"/>
      <c r="D166" s="939"/>
      <c r="E166" s="939"/>
      <c r="F166" s="939"/>
      <c r="G166" s="939"/>
      <c r="H166" s="939"/>
      <c r="I166" s="939"/>
    </row>
    <row r="167" spans="1:9" ht="16">
      <c r="A167" s="964"/>
      <c r="B167" s="1055"/>
      <c r="C167" s="939"/>
      <c r="D167" s="939"/>
      <c r="E167" s="939"/>
      <c r="F167" s="939"/>
      <c r="G167" s="939"/>
      <c r="H167" s="939"/>
      <c r="I167" s="939"/>
    </row>
    <row r="168" spans="1:9" ht="16">
      <c r="A168" s="964"/>
      <c r="B168" s="1055"/>
      <c r="C168" s="939"/>
      <c r="D168" s="939"/>
      <c r="E168" s="939"/>
      <c r="F168" s="939"/>
      <c r="G168" s="939"/>
      <c r="H168" s="939"/>
      <c r="I168" s="939"/>
    </row>
    <row r="169" spans="1:9" ht="16">
      <c r="A169" s="964"/>
      <c r="B169" s="1055"/>
      <c r="C169" s="939"/>
      <c r="D169" s="939"/>
      <c r="E169" s="939"/>
      <c r="F169" s="939"/>
      <c r="G169" s="939"/>
      <c r="H169" s="939"/>
      <c r="I169" s="939"/>
    </row>
    <row r="170" spans="1:9" ht="16">
      <c r="A170" s="964"/>
      <c r="B170" s="1055"/>
      <c r="C170" s="939"/>
      <c r="D170" s="939"/>
      <c r="E170" s="939"/>
      <c r="F170" s="939"/>
      <c r="G170" s="939"/>
      <c r="H170" s="939"/>
      <c r="I170" s="939"/>
    </row>
    <row r="171" spans="1:9" ht="16">
      <c r="A171" s="964"/>
      <c r="B171" s="1055"/>
      <c r="C171" s="939"/>
      <c r="D171" s="939"/>
      <c r="E171" s="939"/>
      <c r="F171" s="939"/>
      <c r="G171" s="939"/>
      <c r="H171" s="939"/>
      <c r="I171" s="939"/>
    </row>
    <row r="172" spans="1:9" ht="16">
      <c r="A172" s="964"/>
      <c r="B172" s="1055"/>
      <c r="C172" s="939"/>
      <c r="D172" s="939"/>
      <c r="E172" s="939"/>
      <c r="F172" s="939"/>
      <c r="G172" s="939"/>
      <c r="H172" s="939"/>
      <c r="I172" s="939"/>
    </row>
    <row r="173" spans="1:9" ht="16">
      <c r="A173" s="964"/>
      <c r="B173" s="1055"/>
      <c r="C173" s="939"/>
      <c r="D173" s="939"/>
      <c r="E173" s="939"/>
      <c r="F173" s="939"/>
      <c r="G173" s="939"/>
      <c r="H173" s="939"/>
      <c r="I173" s="939"/>
    </row>
    <row r="174" spans="1:9" ht="16">
      <c r="A174" s="964"/>
      <c r="B174" s="1055"/>
      <c r="C174" s="939"/>
      <c r="D174" s="939"/>
      <c r="E174" s="939"/>
      <c r="F174" s="939"/>
      <c r="G174" s="939"/>
      <c r="H174" s="939"/>
      <c r="I174" s="939"/>
    </row>
    <row r="175" spans="1:9" ht="16">
      <c r="A175" s="964"/>
      <c r="B175" s="1055"/>
      <c r="C175" s="939"/>
      <c r="D175" s="939"/>
      <c r="E175" s="939"/>
      <c r="F175" s="939"/>
      <c r="G175" s="939"/>
      <c r="H175" s="939"/>
      <c r="I175" s="939"/>
    </row>
    <row r="176" spans="1:9" ht="16">
      <c r="A176" s="964"/>
      <c r="B176" s="1055"/>
      <c r="C176" s="939"/>
      <c r="D176" s="939"/>
      <c r="E176" s="939"/>
      <c r="F176" s="939"/>
      <c r="G176" s="939"/>
      <c r="H176" s="939"/>
      <c r="I176" s="939"/>
    </row>
    <row r="177" spans="1:9" ht="16">
      <c r="A177" s="964"/>
      <c r="B177" s="1055"/>
      <c r="C177" s="939"/>
      <c r="D177" s="939"/>
      <c r="E177" s="939"/>
      <c r="F177" s="939"/>
      <c r="G177" s="939"/>
      <c r="H177" s="939"/>
      <c r="I177" s="939"/>
    </row>
    <row r="178" spans="1:9" ht="16">
      <c r="A178" s="964"/>
      <c r="B178" s="1055"/>
      <c r="C178" s="939"/>
      <c r="D178" s="939"/>
      <c r="E178" s="939"/>
      <c r="F178" s="939"/>
      <c r="G178" s="939"/>
      <c r="H178" s="939"/>
      <c r="I178" s="939"/>
    </row>
    <row r="179" spans="1:9" ht="16">
      <c r="A179" s="964"/>
      <c r="B179" s="1055"/>
      <c r="C179" s="939"/>
      <c r="D179" s="939"/>
      <c r="E179" s="939"/>
      <c r="F179" s="939"/>
      <c r="G179" s="939"/>
      <c r="H179" s="939"/>
      <c r="I179" s="939"/>
    </row>
    <row r="180" spans="1:9" ht="16">
      <c r="A180" s="964"/>
      <c r="B180" s="1055"/>
      <c r="C180" s="939"/>
      <c r="D180" s="939"/>
      <c r="E180" s="939"/>
      <c r="F180" s="939"/>
      <c r="G180" s="939"/>
      <c r="H180" s="939"/>
      <c r="I180" s="939"/>
    </row>
    <row r="181" spans="1:9" ht="16">
      <c r="A181" s="964"/>
      <c r="B181" s="1055"/>
      <c r="C181" s="939"/>
      <c r="D181" s="939"/>
      <c r="E181" s="939"/>
      <c r="F181" s="939"/>
      <c r="G181" s="939"/>
      <c r="H181" s="939"/>
      <c r="I181" s="939"/>
    </row>
    <row r="182" spans="1:9" ht="16">
      <c r="A182" s="964"/>
      <c r="B182" s="1055"/>
      <c r="C182" s="939"/>
      <c r="D182" s="939"/>
      <c r="E182" s="939"/>
      <c r="F182" s="939"/>
      <c r="G182" s="939"/>
      <c r="H182" s="939"/>
      <c r="I182" s="939"/>
    </row>
    <row r="183" spans="1:9" ht="16">
      <c r="A183" s="964"/>
      <c r="B183" s="1055"/>
      <c r="C183" s="939"/>
      <c r="D183" s="939"/>
      <c r="E183" s="939"/>
      <c r="F183" s="939"/>
      <c r="G183" s="939"/>
      <c r="H183" s="939"/>
      <c r="I183" s="939"/>
    </row>
    <row r="184" spans="1:9" ht="16">
      <c r="A184" s="964"/>
      <c r="B184" s="1055"/>
      <c r="C184" s="939"/>
      <c r="D184" s="939"/>
      <c r="E184" s="939"/>
      <c r="F184" s="939"/>
      <c r="G184" s="939"/>
      <c r="H184" s="939"/>
      <c r="I184" s="939"/>
    </row>
    <row r="185" spans="1:9" ht="16">
      <c r="A185" s="964"/>
      <c r="B185" s="1055"/>
      <c r="C185" s="939"/>
      <c r="D185" s="939"/>
      <c r="E185" s="939"/>
      <c r="F185" s="939"/>
      <c r="G185" s="939"/>
      <c r="H185" s="939"/>
      <c r="I185" s="939"/>
    </row>
    <row r="186" spans="1:9" ht="16">
      <c r="A186" s="964"/>
      <c r="B186" s="1055"/>
      <c r="C186" s="939"/>
      <c r="D186" s="939"/>
      <c r="E186" s="939"/>
      <c r="F186" s="939"/>
      <c r="G186" s="939"/>
      <c r="H186" s="939"/>
      <c r="I186" s="939"/>
    </row>
    <row r="187" spans="1:9" ht="16">
      <c r="A187" s="964"/>
      <c r="B187" s="1055"/>
      <c r="C187" s="939"/>
      <c r="D187" s="939"/>
      <c r="E187" s="939"/>
      <c r="F187" s="939"/>
      <c r="G187" s="939"/>
      <c r="H187" s="939"/>
      <c r="I187" s="939"/>
    </row>
    <row r="188" spans="1:9" ht="16">
      <c r="A188" s="964"/>
      <c r="B188" s="1055"/>
      <c r="C188" s="939"/>
      <c r="D188" s="939"/>
      <c r="E188" s="939"/>
      <c r="F188" s="939"/>
      <c r="G188" s="939"/>
      <c r="H188" s="939"/>
      <c r="I188" s="939"/>
    </row>
    <row r="189" spans="1:9" ht="16">
      <c r="A189" s="964"/>
      <c r="B189" s="1055"/>
      <c r="C189" s="939"/>
      <c r="D189" s="939"/>
      <c r="E189" s="939"/>
      <c r="F189" s="939"/>
      <c r="G189" s="939"/>
      <c r="H189" s="939"/>
      <c r="I189" s="939"/>
    </row>
    <row r="190" spans="1:9" ht="16">
      <c r="A190" s="964"/>
      <c r="B190" s="1055"/>
      <c r="C190" s="939"/>
      <c r="D190" s="939"/>
      <c r="E190" s="939"/>
      <c r="F190" s="939"/>
      <c r="G190" s="939"/>
      <c r="H190" s="939"/>
      <c r="I190" s="939"/>
    </row>
    <row r="191" spans="1:9" ht="16">
      <c r="A191" s="964"/>
      <c r="B191" s="1055"/>
      <c r="C191" s="939"/>
      <c r="D191" s="939"/>
      <c r="E191" s="939"/>
      <c r="F191" s="939"/>
      <c r="G191" s="939"/>
      <c r="H191" s="939"/>
      <c r="I191" s="939"/>
    </row>
    <row r="192" spans="1:9" ht="16">
      <c r="A192" s="964"/>
      <c r="B192" s="1055"/>
      <c r="C192" s="939"/>
      <c r="D192" s="939"/>
      <c r="E192" s="939"/>
      <c r="F192" s="939"/>
      <c r="G192" s="939"/>
      <c r="H192" s="939"/>
      <c r="I192" s="939"/>
    </row>
    <row r="193" spans="1:9" ht="16">
      <c r="A193" s="964"/>
      <c r="B193" s="1055"/>
      <c r="C193" s="939"/>
      <c r="D193" s="939"/>
      <c r="E193" s="939"/>
      <c r="F193" s="939"/>
      <c r="G193" s="939"/>
      <c r="H193" s="939"/>
      <c r="I193" s="939"/>
    </row>
    <row r="194" spans="1:9" ht="16">
      <c r="A194" s="964"/>
      <c r="B194" s="1055"/>
      <c r="C194" s="939"/>
      <c r="D194" s="939"/>
      <c r="E194" s="939"/>
      <c r="F194" s="939"/>
      <c r="G194" s="939"/>
      <c r="H194" s="939"/>
      <c r="I194" s="939"/>
    </row>
    <row r="195" spans="1:9" ht="16">
      <c r="A195" s="964"/>
      <c r="B195" s="1055"/>
      <c r="C195" s="939"/>
      <c r="D195" s="939"/>
      <c r="E195" s="939"/>
      <c r="F195" s="939"/>
      <c r="G195" s="939"/>
      <c r="H195" s="939"/>
      <c r="I195" s="939"/>
    </row>
    <row r="196" spans="1:9" ht="16">
      <c r="A196" s="964"/>
      <c r="B196" s="1055"/>
      <c r="C196" s="939"/>
      <c r="D196" s="939"/>
      <c r="E196" s="939"/>
      <c r="F196" s="939"/>
      <c r="G196" s="939"/>
      <c r="H196" s="939"/>
      <c r="I196" s="939"/>
    </row>
    <row r="197" spans="1:9" ht="16">
      <c r="A197" s="964"/>
      <c r="B197" s="1055"/>
      <c r="C197" s="939"/>
      <c r="D197" s="939"/>
      <c r="E197" s="939"/>
      <c r="F197" s="939"/>
      <c r="G197" s="939"/>
      <c r="H197" s="939"/>
      <c r="I197" s="939"/>
    </row>
    <row r="198" spans="1:9" ht="16">
      <c r="A198" s="964"/>
      <c r="B198" s="1055"/>
      <c r="C198" s="939"/>
      <c r="D198" s="939"/>
      <c r="E198" s="939"/>
      <c r="F198" s="939"/>
      <c r="G198" s="939"/>
      <c r="H198" s="939"/>
      <c r="I198" s="939"/>
    </row>
    <row r="199" spans="1:9" ht="16">
      <c r="A199" s="964"/>
      <c r="B199" s="1055"/>
      <c r="C199" s="939"/>
      <c r="D199" s="939"/>
      <c r="E199" s="939"/>
      <c r="F199" s="939"/>
      <c r="G199" s="939"/>
      <c r="H199" s="939"/>
      <c r="I199" s="939"/>
    </row>
    <row r="200" spans="1:9" ht="16">
      <c r="A200" s="964"/>
      <c r="B200" s="1055"/>
      <c r="C200" s="939"/>
      <c r="D200" s="939"/>
      <c r="E200" s="939"/>
      <c r="F200" s="939"/>
      <c r="G200" s="939"/>
      <c r="H200" s="939"/>
      <c r="I200" s="939"/>
    </row>
    <row r="201" spans="1:9" ht="16">
      <c r="A201" s="964"/>
      <c r="B201" s="1055"/>
      <c r="C201" s="939"/>
      <c r="D201" s="939"/>
      <c r="E201" s="939"/>
      <c r="F201" s="939"/>
      <c r="G201" s="939"/>
      <c r="H201" s="939"/>
      <c r="I201" s="939"/>
    </row>
    <row r="202" spans="1:9" ht="16">
      <c r="A202" s="964"/>
      <c r="B202" s="1055"/>
      <c r="C202" s="939"/>
      <c r="D202" s="939"/>
      <c r="E202" s="939"/>
      <c r="F202" s="939"/>
      <c r="G202" s="939"/>
      <c r="H202" s="939"/>
      <c r="I202" s="939"/>
    </row>
    <row r="203" spans="1:9" ht="16">
      <c r="A203" s="964"/>
      <c r="B203" s="1055"/>
      <c r="C203" s="939"/>
      <c r="D203" s="939"/>
      <c r="E203" s="939"/>
      <c r="F203" s="939"/>
      <c r="G203" s="939"/>
      <c r="H203" s="939"/>
      <c r="I203" s="939"/>
    </row>
    <row r="204" spans="1:9" ht="16">
      <c r="A204" s="964"/>
      <c r="B204" s="1055"/>
      <c r="C204" s="939"/>
      <c r="D204" s="939"/>
      <c r="E204" s="939"/>
      <c r="F204" s="939"/>
      <c r="G204" s="939"/>
      <c r="H204" s="939"/>
      <c r="I204" s="939"/>
    </row>
    <row r="205" spans="1:9" ht="16">
      <c r="A205" s="964"/>
      <c r="B205" s="1055"/>
      <c r="C205" s="939"/>
      <c r="D205" s="939"/>
      <c r="E205" s="939"/>
      <c r="F205" s="939"/>
      <c r="G205" s="939"/>
      <c r="H205" s="939"/>
      <c r="I205" s="939"/>
    </row>
    <row r="206" spans="1:9" ht="16">
      <c r="A206" s="964"/>
      <c r="B206" s="1055"/>
      <c r="C206" s="939"/>
      <c r="D206" s="939"/>
      <c r="E206" s="939"/>
      <c r="F206" s="939"/>
      <c r="G206" s="939"/>
      <c r="H206" s="939"/>
      <c r="I206" s="939"/>
    </row>
    <row r="207" spans="1:9" ht="16">
      <c r="A207" s="964"/>
      <c r="B207" s="1055"/>
      <c r="C207" s="939"/>
      <c r="D207" s="939"/>
      <c r="E207" s="939"/>
      <c r="F207" s="939"/>
      <c r="G207" s="939"/>
      <c r="H207" s="939"/>
      <c r="I207" s="939"/>
    </row>
    <row r="208" spans="1:9" ht="16">
      <c r="A208" s="964"/>
      <c r="B208" s="1055"/>
      <c r="C208" s="939"/>
      <c r="D208" s="939"/>
      <c r="E208" s="939"/>
      <c r="F208" s="939"/>
      <c r="G208" s="939"/>
      <c r="H208" s="939"/>
      <c r="I208" s="939"/>
    </row>
    <row r="209" spans="1:9" ht="16">
      <c r="A209" s="964"/>
      <c r="B209" s="1055"/>
      <c r="C209" s="939"/>
      <c r="D209" s="939"/>
      <c r="E209" s="939"/>
      <c r="F209" s="939"/>
      <c r="G209" s="939"/>
      <c r="H209" s="939"/>
      <c r="I209" s="939"/>
    </row>
    <row r="210" spans="1:9" ht="16">
      <c r="A210" s="964"/>
      <c r="B210" s="1055"/>
      <c r="C210" s="939"/>
      <c r="D210" s="939"/>
      <c r="E210" s="939"/>
      <c r="F210" s="939"/>
      <c r="G210" s="939"/>
      <c r="H210" s="939"/>
      <c r="I210" s="939"/>
    </row>
    <row r="211" spans="1:9" ht="16">
      <c r="A211" s="964"/>
      <c r="B211" s="1055"/>
      <c r="C211" s="939"/>
      <c r="D211" s="939"/>
      <c r="E211" s="939"/>
      <c r="F211" s="939"/>
      <c r="G211" s="939"/>
      <c r="H211" s="939"/>
      <c r="I211" s="939"/>
    </row>
    <row r="212" spans="1:9" ht="16">
      <c r="A212" s="964"/>
      <c r="B212" s="1055"/>
      <c r="C212" s="939"/>
      <c r="D212" s="939"/>
      <c r="E212" s="939"/>
      <c r="F212" s="939"/>
      <c r="G212" s="939"/>
      <c r="H212" s="939"/>
      <c r="I212" s="939"/>
    </row>
    <row r="213" spans="1:9" ht="16">
      <c r="A213" s="964"/>
      <c r="B213" s="1055"/>
      <c r="C213" s="939"/>
      <c r="D213" s="939"/>
      <c r="E213" s="939"/>
      <c r="F213" s="939"/>
      <c r="G213" s="939"/>
      <c r="H213" s="939"/>
      <c r="I213" s="939"/>
    </row>
    <row r="214" spans="1:9" ht="16">
      <c r="A214" s="964"/>
      <c r="B214" s="1055"/>
      <c r="C214" s="939"/>
      <c r="D214" s="939"/>
      <c r="E214" s="939"/>
      <c r="F214" s="939"/>
      <c r="G214" s="939"/>
      <c r="H214" s="939"/>
      <c r="I214" s="939"/>
    </row>
    <row r="215" spans="1:9" ht="16">
      <c r="A215" s="964"/>
      <c r="B215" s="1055"/>
      <c r="C215" s="939"/>
      <c r="D215" s="939"/>
      <c r="E215" s="939"/>
      <c r="F215" s="939"/>
      <c r="G215" s="939"/>
      <c r="H215" s="939"/>
      <c r="I215" s="939"/>
    </row>
    <row r="216" spans="1:9" ht="16">
      <c r="A216" s="964"/>
      <c r="B216" s="1055"/>
      <c r="C216" s="939"/>
      <c r="D216" s="939"/>
      <c r="E216" s="939"/>
      <c r="F216" s="939"/>
      <c r="G216" s="939"/>
      <c r="H216" s="939"/>
      <c r="I216" s="939"/>
    </row>
    <row r="217" spans="1:9" ht="16">
      <c r="A217" s="964"/>
      <c r="B217" s="1055"/>
      <c r="C217" s="939"/>
      <c r="D217" s="939"/>
      <c r="E217" s="939"/>
      <c r="F217" s="939"/>
      <c r="G217" s="939"/>
      <c r="H217" s="939"/>
      <c r="I217" s="939"/>
    </row>
    <row r="218" spans="1:9" ht="16">
      <c r="A218" s="964"/>
      <c r="B218" s="1055"/>
      <c r="C218" s="939"/>
      <c r="D218" s="939"/>
      <c r="E218" s="939"/>
      <c r="F218" s="939"/>
      <c r="G218" s="939"/>
      <c r="H218" s="939"/>
      <c r="I218" s="939"/>
    </row>
    <row r="219" spans="1:9" ht="16">
      <c r="A219" s="964"/>
      <c r="B219" s="1055"/>
      <c r="C219" s="939"/>
      <c r="D219" s="939"/>
      <c r="E219" s="939"/>
      <c r="F219" s="939"/>
      <c r="G219" s="939"/>
      <c r="H219" s="939"/>
      <c r="I219" s="939"/>
    </row>
    <row r="220" spans="1:9" ht="16">
      <c r="A220" s="964"/>
      <c r="B220" s="1055"/>
      <c r="C220" s="939"/>
      <c r="D220" s="939"/>
      <c r="E220" s="939"/>
      <c r="F220" s="939"/>
      <c r="G220" s="939"/>
      <c r="H220" s="939"/>
      <c r="I220" s="939"/>
    </row>
    <row r="221" spans="1:9" ht="16">
      <c r="A221" s="964"/>
      <c r="B221" s="1055"/>
      <c r="C221" s="939"/>
      <c r="D221" s="939"/>
      <c r="E221" s="939"/>
      <c r="F221" s="939"/>
      <c r="G221" s="939"/>
      <c r="H221" s="939"/>
      <c r="I221" s="939"/>
    </row>
    <row r="222" spans="1:9" ht="16">
      <c r="A222" s="964"/>
      <c r="B222" s="1055"/>
      <c r="C222" s="939"/>
      <c r="D222" s="939"/>
      <c r="E222" s="939"/>
      <c r="F222" s="939"/>
      <c r="G222" s="939"/>
      <c r="H222" s="939"/>
      <c r="I222" s="939"/>
    </row>
    <row r="223" spans="1:9" ht="16">
      <c r="A223" s="964"/>
      <c r="B223" s="1055"/>
      <c r="C223" s="939"/>
      <c r="D223" s="939"/>
      <c r="E223" s="939"/>
      <c r="F223" s="939"/>
      <c r="G223" s="939"/>
      <c r="H223" s="939"/>
      <c r="I223" s="939"/>
    </row>
    <row r="224" spans="1:9" ht="16">
      <c r="A224" s="964"/>
      <c r="B224" s="1055"/>
      <c r="C224" s="939"/>
      <c r="D224" s="939"/>
      <c r="E224" s="939"/>
      <c r="F224" s="939"/>
      <c r="G224" s="939"/>
      <c r="H224" s="939"/>
      <c r="I224" s="939"/>
    </row>
    <row r="225" spans="1:9" ht="16">
      <c r="A225" s="964"/>
      <c r="B225" s="1055"/>
      <c r="C225" s="939"/>
      <c r="D225" s="939"/>
      <c r="E225" s="939"/>
      <c r="F225" s="939"/>
      <c r="G225" s="939"/>
      <c r="H225" s="939"/>
      <c r="I225" s="939"/>
    </row>
    <row r="226" spans="1:9" ht="16">
      <c r="A226" s="964"/>
      <c r="B226" s="1055"/>
      <c r="C226" s="939"/>
      <c r="D226" s="939"/>
      <c r="E226" s="939"/>
      <c r="F226" s="939"/>
      <c r="G226" s="939"/>
      <c r="H226" s="939"/>
      <c r="I226" s="939"/>
    </row>
    <row r="227" spans="1:9" ht="16">
      <c r="A227" s="964"/>
      <c r="B227" s="1055"/>
      <c r="C227" s="939"/>
      <c r="D227" s="939"/>
      <c r="E227" s="939"/>
      <c r="F227" s="939"/>
      <c r="G227" s="939"/>
      <c r="H227" s="939"/>
      <c r="I227" s="939"/>
    </row>
    <row r="228" spans="1:9" ht="16">
      <c r="A228" s="964"/>
      <c r="B228" s="1055"/>
      <c r="C228" s="939"/>
      <c r="D228" s="939"/>
      <c r="E228" s="939"/>
      <c r="F228" s="939"/>
      <c r="G228" s="939"/>
      <c r="H228" s="939"/>
      <c r="I228" s="939"/>
    </row>
    <row r="229" spans="1:9" ht="16">
      <c r="A229" s="964"/>
      <c r="B229" s="1055"/>
      <c r="C229" s="939"/>
      <c r="D229" s="939"/>
      <c r="E229" s="939"/>
      <c r="F229" s="939"/>
      <c r="G229" s="939"/>
      <c r="H229" s="939"/>
      <c r="I229" s="939"/>
    </row>
    <row r="230" spans="1:9" ht="16">
      <c r="A230" s="964"/>
      <c r="B230" s="1055"/>
      <c r="C230" s="939"/>
      <c r="D230" s="939"/>
      <c r="E230" s="939"/>
      <c r="F230" s="939"/>
      <c r="G230" s="939"/>
      <c r="H230" s="939"/>
      <c r="I230" s="939"/>
    </row>
    <row r="231" spans="1:9" ht="16">
      <c r="A231" s="964"/>
      <c r="B231" s="1055"/>
      <c r="C231" s="939"/>
      <c r="D231" s="939"/>
      <c r="E231" s="939"/>
      <c r="F231" s="939"/>
      <c r="G231" s="939"/>
      <c r="H231" s="939"/>
      <c r="I231" s="939"/>
    </row>
    <row r="232" spans="1:9" ht="16">
      <c r="A232" s="964"/>
      <c r="B232" s="1055"/>
      <c r="C232" s="939"/>
      <c r="D232" s="939"/>
      <c r="E232" s="939"/>
      <c r="F232" s="939"/>
      <c r="G232" s="939"/>
      <c r="H232" s="939"/>
      <c r="I232" s="939"/>
    </row>
    <row r="233" spans="1:9" ht="16">
      <c r="A233" s="964"/>
      <c r="B233" s="1055"/>
      <c r="C233" s="939"/>
      <c r="D233" s="939"/>
      <c r="E233" s="939"/>
      <c r="F233" s="939"/>
      <c r="G233" s="939"/>
      <c r="H233" s="939"/>
      <c r="I233" s="939"/>
    </row>
    <row r="234" spans="1:9" ht="16">
      <c r="A234" s="964"/>
      <c r="B234" s="1055"/>
      <c r="C234" s="939"/>
      <c r="D234" s="939"/>
      <c r="E234" s="939"/>
      <c r="F234" s="939"/>
      <c r="G234" s="939"/>
      <c r="H234" s="939"/>
      <c r="I234" s="939"/>
    </row>
    <row r="235" spans="1:9" ht="16">
      <c r="A235" s="964"/>
      <c r="B235" s="1055"/>
      <c r="C235" s="939"/>
      <c r="D235" s="939"/>
      <c r="E235" s="939"/>
      <c r="F235" s="939"/>
      <c r="G235" s="939"/>
      <c r="H235" s="939"/>
      <c r="I235" s="939"/>
    </row>
    <row r="236" spans="1:9" ht="16">
      <c r="A236" s="964"/>
      <c r="B236" s="1055"/>
      <c r="C236" s="939"/>
      <c r="D236" s="939"/>
      <c r="E236" s="939"/>
      <c r="F236" s="939"/>
      <c r="G236" s="939"/>
      <c r="H236" s="939"/>
      <c r="I236" s="939"/>
    </row>
    <row r="237" spans="1:9" ht="16">
      <c r="A237" s="964"/>
      <c r="B237" s="1055"/>
      <c r="C237" s="939"/>
      <c r="D237" s="939"/>
      <c r="E237" s="939"/>
      <c r="F237" s="939"/>
      <c r="G237" s="939"/>
      <c r="H237" s="939"/>
      <c r="I237" s="939"/>
    </row>
    <row r="238" spans="1:9" ht="16">
      <c r="A238" s="964"/>
      <c r="B238" s="1055"/>
      <c r="C238" s="939"/>
      <c r="D238" s="939"/>
      <c r="E238" s="939"/>
      <c r="F238" s="939"/>
      <c r="G238" s="939"/>
      <c r="H238" s="939"/>
      <c r="I238" s="939"/>
    </row>
    <row r="239" spans="1:9" ht="16">
      <c r="A239" s="964"/>
      <c r="B239" s="1055"/>
      <c r="C239" s="939"/>
      <c r="D239" s="939"/>
      <c r="E239" s="939"/>
      <c r="F239" s="939"/>
      <c r="G239" s="939"/>
      <c r="H239" s="939"/>
      <c r="I239" s="939"/>
    </row>
    <row r="240" spans="1:9" ht="16">
      <c r="A240" s="964"/>
      <c r="B240" s="1055"/>
      <c r="C240" s="939"/>
      <c r="D240" s="939"/>
      <c r="E240" s="939"/>
      <c r="F240" s="939"/>
      <c r="G240" s="939"/>
      <c r="H240" s="939"/>
      <c r="I240" s="939"/>
    </row>
    <row r="241" spans="1:9" ht="16">
      <c r="A241" s="964"/>
      <c r="B241" s="1055"/>
      <c r="C241" s="939"/>
      <c r="D241" s="939"/>
      <c r="E241" s="939"/>
      <c r="F241" s="939"/>
      <c r="G241" s="939"/>
      <c r="H241" s="939"/>
      <c r="I241" s="939"/>
    </row>
    <row r="242" spans="1:9" ht="16">
      <c r="A242" s="964"/>
      <c r="B242" s="1055"/>
      <c r="C242" s="939"/>
      <c r="D242" s="939"/>
      <c r="E242" s="939"/>
      <c r="F242" s="939"/>
      <c r="G242" s="939"/>
      <c r="H242" s="939"/>
      <c r="I242" s="939"/>
    </row>
    <row r="243" spans="1:9" ht="16">
      <c r="A243" s="964"/>
      <c r="B243" s="1055"/>
      <c r="C243" s="939"/>
      <c r="D243" s="939"/>
      <c r="E243" s="939"/>
      <c r="F243" s="939"/>
      <c r="G243" s="939"/>
      <c r="H243" s="939"/>
      <c r="I243" s="939"/>
    </row>
    <row r="244" spans="1:9" ht="16">
      <c r="A244" s="964"/>
      <c r="B244" s="1055"/>
      <c r="C244" s="939"/>
      <c r="D244" s="939"/>
      <c r="E244" s="939"/>
      <c r="F244" s="939"/>
      <c r="G244" s="939"/>
      <c r="H244" s="939"/>
      <c r="I244" s="939"/>
    </row>
    <row r="245" spans="1:9" ht="16">
      <c r="A245" s="964"/>
      <c r="B245" s="1055"/>
      <c r="C245" s="939"/>
      <c r="D245" s="939"/>
      <c r="E245" s="939"/>
      <c r="F245" s="939"/>
      <c r="G245" s="939"/>
      <c r="H245" s="939"/>
      <c r="I245" s="939"/>
    </row>
    <row r="246" spans="1:9" ht="16">
      <c r="A246" s="964"/>
      <c r="B246" s="1055"/>
      <c r="C246" s="939"/>
      <c r="D246" s="939"/>
      <c r="E246" s="939"/>
      <c r="F246" s="939"/>
      <c r="G246" s="939"/>
      <c r="H246" s="939"/>
      <c r="I246" s="939"/>
    </row>
    <row r="247" spans="1:9" ht="16">
      <c r="A247" s="964"/>
      <c r="B247" s="1055"/>
      <c r="C247" s="939"/>
      <c r="D247" s="939"/>
      <c r="E247" s="939"/>
      <c r="F247" s="939"/>
      <c r="G247" s="939"/>
      <c r="H247" s="939"/>
      <c r="I247" s="939"/>
    </row>
    <row r="248" spans="1:9" ht="16">
      <c r="A248" s="964"/>
      <c r="B248" s="1055"/>
      <c r="C248" s="939"/>
      <c r="D248" s="939"/>
      <c r="E248" s="939"/>
      <c r="F248" s="939"/>
      <c r="G248" s="939"/>
      <c r="H248" s="939"/>
      <c r="I248" s="939"/>
    </row>
    <row r="249" spans="1:9" ht="16">
      <c r="A249" s="964"/>
      <c r="B249" s="1055"/>
      <c r="C249" s="939"/>
      <c r="D249" s="939"/>
      <c r="E249" s="939"/>
      <c r="F249" s="939"/>
      <c r="G249" s="939"/>
      <c r="H249" s="939"/>
      <c r="I249" s="939"/>
    </row>
    <row r="250" spans="1:9" ht="16">
      <c r="A250" s="964"/>
      <c r="B250" s="1055"/>
      <c r="C250" s="939"/>
      <c r="D250" s="939"/>
      <c r="E250" s="939"/>
      <c r="F250" s="939"/>
      <c r="G250" s="939"/>
      <c r="H250" s="939"/>
      <c r="I250" s="939"/>
    </row>
    <row r="251" spans="1:9" ht="16">
      <c r="A251" s="964"/>
      <c r="B251" s="1055"/>
      <c r="C251" s="939"/>
      <c r="D251" s="939"/>
      <c r="E251" s="939"/>
      <c r="F251" s="939"/>
      <c r="G251" s="939"/>
      <c r="H251" s="939"/>
      <c r="I251" s="939"/>
    </row>
    <row r="252" spans="1:9" ht="16">
      <c r="A252" s="964"/>
      <c r="B252" s="1055"/>
      <c r="C252" s="939"/>
      <c r="D252" s="939"/>
      <c r="E252" s="939"/>
      <c r="F252" s="939"/>
      <c r="G252" s="939"/>
      <c r="H252" s="939"/>
      <c r="I252" s="939"/>
    </row>
    <row r="253" spans="1:9" ht="16">
      <c r="A253" s="964"/>
      <c r="B253" s="1055"/>
      <c r="C253" s="939"/>
      <c r="D253" s="939"/>
      <c r="E253" s="939"/>
      <c r="F253" s="939"/>
      <c r="G253" s="939"/>
      <c r="H253" s="939"/>
      <c r="I253" s="939"/>
    </row>
    <row r="254" spans="1:9" ht="16">
      <c r="A254" s="964"/>
      <c r="B254" s="1055"/>
      <c r="C254" s="939"/>
      <c r="D254" s="939"/>
      <c r="E254" s="939"/>
      <c r="F254" s="939"/>
      <c r="G254" s="939"/>
      <c r="H254" s="939"/>
      <c r="I254" s="939"/>
    </row>
    <row r="255" spans="1:9" ht="16">
      <c r="A255" s="964"/>
      <c r="B255" s="1055"/>
      <c r="C255" s="939"/>
      <c r="D255" s="939"/>
      <c r="E255" s="939"/>
      <c r="F255" s="939"/>
      <c r="G255" s="939"/>
      <c r="H255" s="939"/>
      <c r="I255" s="939"/>
    </row>
    <row r="256" spans="1:9" ht="16">
      <c r="A256" s="964"/>
      <c r="B256" s="1055"/>
      <c r="C256" s="939"/>
      <c r="D256" s="939"/>
      <c r="E256" s="939"/>
      <c r="F256" s="939"/>
      <c r="G256" s="939"/>
      <c r="H256" s="939"/>
      <c r="I256" s="939"/>
    </row>
    <row r="257" spans="1:9" ht="16">
      <c r="A257" s="964"/>
      <c r="B257" s="1055"/>
      <c r="C257" s="939"/>
      <c r="D257" s="939"/>
      <c r="E257" s="939"/>
      <c r="F257" s="939"/>
      <c r="G257" s="939"/>
      <c r="H257" s="939"/>
      <c r="I257" s="939"/>
    </row>
    <row r="258" spans="1:9" ht="16">
      <c r="A258" s="964"/>
      <c r="B258" s="1055"/>
      <c r="C258" s="939"/>
      <c r="D258" s="939"/>
      <c r="E258" s="939"/>
      <c r="F258" s="939"/>
      <c r="G258" s="939"/>
      <c r="H258" s="939"/>
      <c r="I258" s="939"/>
    </row>
    <row r="259" spans="1:9" ht="16">
      <c r="A259" s="964"/>
      <c r="B259" s="1055"/>
      <c r="C259" s="939"/>
      <c r="D259" s="939"/>
      <c r="E259" s="939"/>
      <c r="F259" s="939"/>
      <c r="G259" s="939"/>
      <c r="H259" s="939"/>
      <c r="I259" s="939"/>
    </row>
    <row r="260" spans="1:9" ht="16">
      <c r="A260" s="964"/>
      <c r="B260" s="1055"/>
      <c r="C260" s="939"/>
      <c r="D260" s="939"/>
      <c r="E260" s="939"/>
      <c r="F260" s="939"/>
      <c r="G260" s="939"/>
      <c r="H260" s="939"/>
      <c r="I260" s="939"/>
    </row>
    <row r="261" spans="1:9" ht="16">
      <c r="A261" s="964"/>
      <c r="B261" s="1055"/>
      <c r="C261" s="939"/>
      <c r="D261" s="939"/>
      <c r="E261" s="939"/>
      <c r="F261" s="939"/>
      <c r="G261" s="939"/>
      <c r="H261" s="939"/>
      <c r="I261" s="939"/>
    </row>
    <row r="262" spans="1:9" ht="16">
      <c r="A262" s="964"/>
      <c r="B262" s="1055"/>
      <c r="C262" s="939"/>
      <c r="D262" s="939"/>
      <c r="E262" s="939"/>
      <c r="F262" s="939"/>
      <c r="G262" s="939"/>
      <c r="H262" s="939"/>
      <c r="I262" s="939"/>
    </row>
    <row r="263" spans="1:9" ht="16">
      <c r="A263" s="964"/>
      <c r="B263" s="1055"/>
      <c r="C263" s="939"/>
      <c r="D263" s="939"/>
      <c r="E263" s="939"/>
      <c r="F263" s="939"/>
      <c r="G263" s="939"/>
      <c r="H263" s="939"/>
      <c r="I263" s="939"/>
    </row>
    <row r="264" spans="1:9" ht="16">
      <c r="A264" s="964"/>
      <c r="B264" s="1055"/>
      <c r="C264" s="939"/>
      <c r="D264" s="939"/>
      <c r="E264" s="939"/>
      <c r="F264" s="939"/>
      <c r="G264" s="939"/>
      <c r="H264" s="939"/>
      <c r="I264" s="939"/>
    </row>
    <row r="265" spans="1:9" ht="16">
      <c r="A265" s="964"/>
      <c r="B265" s="1055"/>
      <c r="C265" s="939"/>
      <c r="D265" s="939"/>
      <c r="E265" s="939"/>
      <c r="F265" s="939"/>
      <c r="G265" s="939"/>
      <c r="H265" s="939"/>
      <c r="I265" s="939"/>
    </row>
    <row r="266" spans="1:9" ht="16">
      <c r="A266" s="964"/>
      <c r="B266" s="1055"/>
      <c r="C266" s="939"/>
      <c r="D266" s="939"/>
      <c r="E266" s="939"/>
      <c r="F266" s="939"/>
      <c r="G266" s="939"/>
      <c r="H266" s="939"/>
      <c r="I266" s="939"/>
    </row>
    <row r="267" spans="1:9" ht="16">
      <c r="A267" s="964"/>
      <c r="B267" s="1055"/>
      <c r="C267" s="939"/>
      <c r="D267" s="939"/>
      <c r="E267" s="939"/>
      <c r="F267" s="939"/>
      <c r="G267" s="939"/>
      <c r="H267" s="939"/>
      <c r="I267" s="939"/>
    </row>
    <row r="268" spans="1:9" ht="16">
      <c r="A268" s="964"/>
      <c r="B268" s="1055"/>
      <c r="C268" s="939"/>
      <c r="D268" s="939"/>
      <c r="E268" s="939"/>
      <c r="F268" s="939"/>
      <c r="G268" s="939"/>
      <c r="H268" s="939"/>
      <c r="I268" s="939"/>
    </row>
    <row r="269" spans="1:9" ht="16">
      <c r="A269" s="964"/>
      <c r="B269" s="1055"/>
      <c r="C269" s="939"/>
      <c r="D269" s="939"/>
      <c r="E269" s="939"/>
      <c r="F269" s="939"/>
      <c r="G269" s="939"/>
      <c r="H269" s="939"/>
      <c r="I269" s="939"/>
    </row>
    <row r="270" spans="1:9" ht="16">
      <c r="A270" s="964"/>
      <c r="B270" s="1055"/>
      <c r="C270" s="939"/>
      <c r="D270" s="939"/>
      <c r="E270" s="939"/>
      <c r="F270" s="939"/>
      <c r="G270" s="939"/>
      <c r="H270" s="939"/>
      <c r="I270" s="939"/>
    </row>
    <row r="271" spans="1:9" ht="16">
      <c r="A271" s="964"/>
      <c r="B271" s="1055"/>
      <c r="C271" s="939"/>
      <c r="D271" s="939"/>
      <c r="E271" s="939"/>
      <c r="F271" s="939"/>
      <c r="G271" s="939"/>
      <c r="H271" s="939"/>
      <c r="I271" s="939"/>
    </row>
    <row r="272" spans="1:9" ht="16">
      <c r="A272" s="964"/>
      <c r="B272" s="1055"/>
      <c r="C272" s="939"/>
      <c r="D272" s="939"/>
      <c r="E272" s="939"/>
      <c r="F272" s="939"/>
      <c r="G272" s="939"/>
      <c r="H272" s="939"/>
      <c r="I272" s="939"/>
    </row>
    <row r="273" spans="1:9" ht="16">
      <c r="A273" s="964"/>
      <c r="B273" s="1055"/>
      <c r="C273" s="939"/>
      <c r="D273" s="939"/>
      <c r="E273" s="939"/>
      <c r="F273" s="939"/>
      <c r="G273" s="939"/>
      <c r="H273" s="939"/>
      <c r="I273" s="939"/>
    </row>
    <row r="274" spans="1:9" ht="16">
      <c r="A274" s="964"/>
      <c r="B274" s="1055"/>
      <c r="C274" s="939"/>
      <c r="D274" s="939"/>
      <c r="E274" s="939"/>
      <c r="F274" s="939"/>
      <c r="G274" s="939"/>
      <c r="H274" s="939"/>
      <c r="I274" s="939"/>
    </row>
    <row r="275" spans="1:9" ht="16">
      <c r="A275" s="964"/>
      <c r="B275" s="1055"/>
      <c r="C275" s="939"/>
      <c r="D275" s="939"/>
      <c r="E275" s="939"/>
      <c r="F275" s="939"/>
      <c r="G275" s="939"/>
      <c r="H275" s="939"/>
      <c r="I275" s="939"/>
    </row>
    <row r="276" spans="1:9" ht="16">
      <c r="A276" s="964"/>
      <c r="B276" s="1055"/>
      <c r="C276" s="939"/>
      <c r="D276" s="939"/>
      <c r="E276" s="939"/>
      <c r="F276" s="939"/>
      <c r="G276" s="939"/>
      <c r="H276" s="939"/>
      <c r="I276" s="939"/>
    </row>
    <row r="277" spans="1:9" ht="16">
      <c r="A277" s="964"/>
      <c r="B277" s="1055"/>
      <c r="C277" s="939"/>
      <c r="D277" s="939"/>
      <c r="E277" s="939"/>
      <c r="F277" s="939"/>
      <c r="G277" s="939"/>
      <c r="H277" s="939"/>
      <c r="I277" s="939"/>
    </row>
    <row r="278" spans="1:9" ht="16">
      <c r="A278" s="964"/>
      <c r="B278" s="1055"/>
      <c r="C278" s="939"/>
      <c r="D278" s="939"/>
      <c r="E278" s="939"/>
      <c r="F278" s="939"/>
      <c r="G278" s="939"/>
      <c r="H278" s="939"/>
      <c r="I278" s="939"/>
    </row>
    <row r="279" spans="1:9" ht="16">
      <c r="A279" s="964"/>
      <c r="B279" s="1055"/>
      <c r="C279" s="939"/>
      <c r="D279" s="939"/>
      <c r="E279" s="939"/>
      <c r="F279" s="939"/>
      <c r="G279" s="939"/>
      <c r="H279" s="939"/>
      <c r="I279" s="939"/>
    </row>
    <row r="280" spans="1:9" ht="16">
      <c r="A280" s="964"/>
      <c r="B280" s="1055"/>
      <c r="C280" s="939"/>
      <c r="D280" s="939"/>
      <c r="E280" s="939"/>
      <c r="F280" s="939"/>
      <c r="G280" s="939"/>
      <c r="H280" s="939"/>
      <c r="I280" s="939"/>
    </row>
    <row r="281" spans="1:9" ht="16">
      <c r="A281" s="964"/>
      <c r="B281" s="1055"/>
      <c r="C281" s="939"/>
      <c r="D281" s="939"/>
      <c r="E281" s="939"/>
      <c r="F281" s="939"/>
      <c r="G281" s="939"/>
      <c r="H281" s="939"/>
      <c r="I281" s="939"/>
    </row>
    <row r="282" spans="1:9" ht="16">
      <c r="A282" s="964"/>
      <c r="B282" s="1055"/>
      <c r="C282" s="939"/>
      <c r="D282" s="939"/>
      <c r="E282" s="939"/>
      <c r="F282" s="939"/>
      <c r="G282" s="939"/>
      <c r="H282" s="939"/>
      <c r="I282" s="939"/>
    </row>
    <row r="283" spans="1:9" ht="16">
      <c r="A283" s="964"/>
      <c r="B283" s="1055"/>
      <c r="C283" s="939"/>
      <c r="D283" s="939"/>
      <c r="E283" s="939"/>
      <c r="F283" s="939"/>
      <c r="G283" s="939"/>
      <c r="H283" s="939"/>
      <c r="I283" s="939"/>
    </row>
    <row r="284" spans="1:9" ht="16">
      <c r="A284" s="964"/>
      <c r="B284" s="1055"/>
      <c r="C284" s="939"/>
      <c r="D284" s="939"/>
      <c r="E284" s="939"/>
      <c r="F284" s="939"/>
      <c r="G284" s="939"/>
      <c r="H284" s="939"/>
      <c r="I284" s="939"/>
    </row>
    <row r="285" spans="1:9" ht="16">
      <c r="A285" s="964"/>
      <c r="B285" s="1055"/>
      <c r="C285" s="939"/>
      <c r="D285" s="939"/>
      <c r="E285" s="939"/>
      <c r="F285" s="939"/>
      <c r="G285" s="939"/>
      <c r="H285" s="939"/>
      <c r="I285" s="939"/>
    </row>
    <row r="286" spans="1:9" ht="16">
      <c r="A286" s="964"/>
      <c r="B286" s="1055"/>
      <c r="C286" s="939"/>
      <c r="D286" s="939"/>
      <c r="E286" s="939"/>
      <c r="F286" s="939"/>
      <c r="G286" s="939"/>
      <c r="H286" s="939"/>
      <c r="I286" s="939"/>
    </row>
    <row r="287" spans="1:9" ht="16">
      <c r="A287" s="964"/>
      <c r="B287" s="1055"/>
      <c r="C287" s="939"/>
      <c r="D287" s="939"/>
      <c r="E287" s="939"/>
      <c r="F287" s="939"/>
      <c r="G287" s="939"/>
      <c r="H287" s="939"/>
      <c r="I287" s="939"/>
    </row>
    <row r="288" spans="1:9" ht="16">
      <c r="A288" s="964"/>
      <c r="B288" s="1055"/>
      <c r="C288" s="939"/>
      <c r="D288" s="939"/>
      <c r="E288" s="939"/>
      <c r="F288" s="939"/>
      <c r="G288" s="939"/>
      <c r="H288" s="939"/>
      <c r="I288" s="939"/>
    </row>
    <row r="289" spans="1:9" ht="16">
      <c r="A289" s="964"/>
      <c r="B289" s="1055"/>
      <c r="C289" s="939"/>
      <c r="D289" s="939"/>
      <c r="E289" s="939"/>
      <c r="F289" s="939"/>
      <c r="G289" s="939"/>
      <c r="H289" s="939"/>
      <c r="I289" s="939"/>
    </row>
    <row r="290" spans="1:9" ht="16">
      <c r="A290" s="964"/>
      <c r="B290" s="1055"/>
      <c r="C290" s="939"/>
      <c r="D290" s="939"/>
      <c r="E290" s="939"/>
      <c r="F290" s="939"/>
      <c r="G290" s="939"/>
      <c r="H290" s="939"/>
      <c r="I290" s="939"/>
    </row>
    <row r="291" spans="1:9" ht="16">
      <c r="A291" s="964"/>
      <c r="B291" s="1055"/>
      <c r="C291" s="939"/>
      <c r="D291" s="939"/>
      <c r="E291" s="939"/>
      <c r="F291" s="939"/>
      <c r="G291" s="939"/>
      <c r="H291" s="939"/>
      <c r="I291" s="939"/>
    </row>
  </sheetData>
  <sheetProtection sheet="1" formatCells="0" formatColumns="0" formatRows="0"/>
  <mergeCells count="7">
    <mergeCell ref="H151:H152"/>
    <mergeCell ref="I151:I152"/>
    <mergeCell ref="A2:C2"/>
    <mergeCell ref="H2:I2"/>
    <mergeCell ref="H122:H123"/>
    <mergeCell ref="I122:I123"/>
    <mergeCell ref="H127:I127"/>
  </mergeCells>
  <phoneticPr fontId="55" type="noConversion"/>
  <printOptions horizontalCentered="1"/>
  <pageMargins left="0.79" right="0.67" top="0.98" bottom="0.83" header="0.51" footer="0.51"/>
  <pageSetup paperSize="9" scale="57" orientation="portrait"/>
  <headerFooter alignWithMargins="0">
    <oddHeader>&amp;C&amp;"Arial,Fed"&amp;12ADMINISTRATIONSOMKOSTNINGER</oddHeader>
    <oddFooter>&amp;L&amp;G&amp;R
&amp;D
&amp;A</oddFooter>
  </headerFooter>
  <rowBreaks count="1" manualBreakCount="1">
    <brk id="125" max="16383" man="1"/>
  </rowBreaks>
  <colBreaks count="1" manualBreakCount="1">
    <brk id="9" max="1048575" man="1"/>
  </colBreaks>
  <drawing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0">
    <tabColor rgb="FFFFFF00"/>
    <pageSetUpPr fitToPage="1"/>
  </sheetPr>
  <dimension ref="A1:M35"/>
  <sheetViews>
    <sheetView zoomScale="150" zoomScaleNormal="150" zoomScaleSheetLayoutView="100" workbookViewId="0">
      <selection activeCell="J15" sqref="J15:K15"/>
    </sheetView>
  </sheetViews>
  <sheetFormatPr baseColWidth="10" defaultColWidth="11.33203125" defaultRowHeight="13"/>
  <cols>
    <col min="1" max="1" width="3.6640625" style="2" customWidth="1"/>
    <col min="2" max="2" width="12.6640625" customWidth="1"/>
    <col min="3" max="3" width="11.6640625" customWidth="1"/>
    <col min="4" max="4" width="11.83203125" style="39" customWidth="1"/>
    <col min="5" max="5" width="9.6640625" customWidth="1"/>
    <col min="6" max="7" width="8.33203125" customWidth="1"/>
    <col min="8" max="8" width="6.33203125" style="2" customWidth="1"/>
    <col min="9" max="9" width="15" style="2" customWidth="1"/>
    <col min="10" max="11" width="11.83203125" customWidth="1"/>
    <col min="12" max="12" width="15" customWidth="1"/>
  </cols>
  <sheetData>
    <row r="1" spans="1:13" s="141" customFormat="1" ht="28.5" customHeight="1" thickBot="1">
      <c r="A1" s="149"/>
      <c r="D1" s="150"/>
      <c r="H1" s="149"/>
      <c r="I1" s="149"/>
    </row>
    <row r="2" spans="1:13" ht="49.5" customHeight="1" thickBot="1">
      <c r="B2" s="139" t="s">
        <v>203</v>
      </c>
      <c r="E2" s="4"/>
    </row>
    <row r="3" spans="1:13" s="42" customFormat="1" ht="41" customHeight="1">
      <c r="A3" s="30" t="s">
        <v>192</v>
      </c>
      <c r="B3" s="40" t="s">
        <v>112</v>
      </c>
      <c r="C3" s="32" t="s">
        <v>151</v>
      </c>
      <c r="D3" s="41" t="s">
        <v>152</v>
      </c>
      <c r="E3" s="31" t="s">
        <v>153</v>
      </c>
      <c r="F3" s="31" t="s">
        <v>154</v>
      </c>
      <c r="G3" s="31" t="s">
        <v>155</v>
      </c>
      <c r="H3" s="31" t="s">
        <v>156</v>
      </c>
      <c r="I3" s="2075" t="s">
        <v>157</v>
      </c>
      <c r="J3" s="2074" t="str">
        <f>"Årlig afdrag "&amp;budgetår&amp;""</f>
        <v>Årlig afdrag 2024</v>
      </c>
      <c r="K3" s="2077" t="str">
        <f>"Årlig renter "&amp;budgetår&amp;""</f>
        <v>Årlig renter 2024</v>
      </c>
      <c r="L3" s="2082" t="str">
        <f>"Ændringer i afdrag i "&amp;budgetår+1&amp;" i forhold til "&amp;budgetår&amp;""</f>
        <v>Ændringer i afdrag i 2025 i forhold til 2024</v>
      </c>
      <c r="M3" s="2083" t="str">
        <f>"Ændringer i renter i "&amp;budgetår+1&amp;" i forhold til "&amp;budgetår&amp;""</f>
        <v>Ændringer i renter i 2025 i forhold til 2024</v>
      </c>
    </row>
    <row r="4" spans="1:13" ht="18" customHeight="1">
      <c r="A4" s="29">
        <v>1</v>
      </c>
      <c r="B4" s="2275" t="s">
        <v>1373</v>
      </c>
      <c r="C4" s="2276"/>
      <c r="D4" s="422"/>
      <c r="E4" s="416"/>
      <c r="F4" s="423"/>
      <c r="G4" s="418"/>
      <c r="H4" s="424"/>
      <c r="I4" s="425"/>
      <c r="J4" s="2277"/>
      <c r="K4" s="2278"/>
      <c r="L4" s="2097"/>
      <c r="M4" s="2098"/>
    </row>
    <row r="5" spans="1:13" ht="18" customHeight="1" thickBot="1">
      <c r="A5" s="29">
        <v>2</v>
      </c>
      <c r="B5" s="421"/>
      <c r="C5" s="421"/>
      <c r="D5" s="422"/>
      <c r="E5" s="418"/>
      <c r="F5" s="426"/>
      <c r="G5" s="418"/>
      <c r="H5" s="424"/>
      <c r="I5" s="425"/>
      <c r="J5" s="427"/>
      <c r="K5" s="2076"/>
      <c r="L5" s="2097"/>
      <c r="M5" s="2098"/>
    </row>
    <row r="6" spans="1:13" ht="18" customHeight="1" thickBot="1">
      <c r="A6" s="236" t="s">
        <v>158</v>
      </c>
      <c r="B6" s="237"/>
      <c r="C6" s="238">
        <f>SUM(C4:C5)</f>
        <v>0</v>
      </c>
      <c r="D6" s="239"/>
      <c r="E6" s="240"/>
      <c r="F6" s="240"/>
      <c r="G6" s="240"/>
      <c r="H6" s="241"/>
      <c r="I6" s="242"/>
      <c r="J6" s="243">
        <f>SUM(J4:J5)</f>
        <v>0</v>
      </c>
      <c r="K6" s="2081">
        <f>SUM(K4:K5)</f>
        <v>0</v>
      </c>
      <c r="L6" s="2084">
        <f>SUM(L4:L5)</f>
        <v>0</v>
      </c>
      <c r="M6" s="2085">
        <f>SUM(M4:M5)</f>
        <v>0</v>
      </c>
    </row>
    <row r="7" spans="1:13" s="42" customFormat="1" ht="41" customHeight="1">
      <c r="A7" s="30" t="s">
        <v>192</v>
      </c>
      <c r="B7" s="40" t="s">
        <v>159</v>
      </c>
      <c r="C7" s="32" t="s">
        <v>151</v>
      </c>
      <c r="D7" s="41" t="s">
        <v>152</v>
      </c>
      <c r="E7" s="31" t="s">
        <v>153</v>
      </c>
      <c r="F7" s="31" t="s">
        <v>154</v>
      </c>
      <c r="G7" s="31" t="s">
        <v>155</v>
      </c>
      <c r="H7" s="31" t="s">
        <v>160</v>
      </c>
      <c r="I7" s="2075" t="s">
        <v>157</v>
      </c>
      <c r="J7" s="2074" t="str">
        <f>"Årlig afdrag "&amp;budgetår&amp;""</f>
        <v>Årlig afdrag 2024</v>
      </c>
      <c r="K7" s="2077" t="str">
        <f>"Årlig renter "&amp;budgetår&amp;""</f>
        <v>Årlig renter 2024</v>
      </c>
      <c r="L7" s="2086" t="str">
        <f>"Ændringer i afdrag i "&amp;budgetår+1&amp;" i forhold til "&amp;budgetår&amp;""</f>
        <v>Ændringer i afdrag i 2025 i forhold til 2024</v>
      </c>
      <c r="M7" s="2087" t="str">
        <f>"Ændringer i renter i "&amp;budgetår+1&amp;" i forhold til "&amp;budgetår&amp;""</f>
        <v>Ændringer i renter i 2025 i forhold til 2024</v>
      </c>
    </row>
    <row r="8" spans="1:13" ht="18" customHeight="1">
      <c r="A8" s="29">
        <v>8</v>
      </c>
      <c r="B8" s="419"/>
      <c r="C8" s="422"/>
      <c r="D8" s="654"/>
      <c r="E8" s="655"/>
      <c r="F8" s="424"/>
      <c r="G8" s="424"/>
      <c r="H8" s="425"/>
      <c r="I8" s="425"/>
      <c r="J8" s="419"/>
      <c r="K8" s="2078"/>
      <c r="L8" s="2097"/>
      <c r="M8" s="2098"/>
    </row>
    <row r="9" spans="1:13" ht="18" customHeight="1">
      <c r="A9" s="29">
        <v>9</v>
      </c>
      <c r="B9" s="418"/>
      <c r="C9" s="419"/>
      <c r="D9" s="422"/>
      <c r="E9" s="656"/>
      <c r="F9" s="655"/>
      <c r="G9" s="424"/>
      <c r="H9" s="424"/>
      <c r="I9" s="425"/>
      <c r="J9" s="419"/>
      <c r="K9" s="2078"/>
      <c r="L9" s="2097"/>
      <c r="M9" s="2098"/>
    </row>
    <row r="10" spans="1:13" ht="18" customHeight="1" thickBot="1">
      <c r="A10" s="29">
        <v>10</v>
      </c>
      <c r="B10" s="418"/>
      <c r="C10" s="419"/>
      <c r="D10" s="422"/>
      <c r="E10" s="656"/>
      <c r="F10" s="655"/>
      <c r="G10" s="424"/>
      <c r="H10" s="424"/>
      <c r="I10" s="430"/>
      <c r="J10" s="419"/>
      <c r="K10" s="2078"/>
      <c r="L10" s="2097"/>
      <c r="M10" s="2098"/>
    </row>
    <row r="11" spans="1:13" ht="18" customHeight="1" thickBot="1">
      <c r="A11" s="244" t="s">
        <v>161</v>
      </c>
      <c r="B11" s="245"/>
      <c r="C11" s="246">
        <f>SUM(C8:C10)</f>
        <v>0</v>
      </c>
      <c r="D11" s="247"/>
      <c r="E11" s="223"/>
      <c r="F11" s="223"/>
      <c r="G11" s="223"/>
      <c r="H11" s="248"/>
      <c r="I11" s="248"/>
      <c r="J11" s="249">
        <f>SUM(J8:J10)</f>
        <v>0</v>
      </c>
      <c r="K11" s="2079">
        <f>SUM(K8:K10)</f>
        <v>0</v>
      </c>
      <c r="L11" s="2088">
        <f>SUM(L8:L10)</f>
        <v>0</v>
      </c>
      <c r="M11" s="2089">
        <f>SUM(M8:M10)</f>
        <v>0</v>
      </c>
    </row>
    <row r="12" spans="1:13" s="42" customFormat="1" ht="42" customHeight="1">
      <c r="A12" s="30" t="s">
        <v>192</v>
      </c>
      <c r="B12" s="40" t="s">
        <v>87</v>
      </c>
      <c r="C12" s="32" t="s">
        <v>151</v>
      </c>
      <c r="D12" s="41" t="s">
        <v>152</v>
      </c>
      <c r="E12" s="31" t="s">
        <v>153</v>
      </c>
      <c r="F12" s="31" t="s">
        <v>154</v>
      </c>
      <c r="G12" s="31" t="s">
        <v>155</v>
      </c>
      <c r="H12" s="31" t="s">
        <v>156</v>
      </c>
      <c r="I12" s="2075" t="s">
        <v>157</v>
      </c>
      <c r="J12" s="2074" t="str">
        <f>"Årlig afdrag "&amp;budgetår&amp;""</f>
        <v>Årlig afdrag 2024</v>
      </c>
      <c r="K12" s="2077" t="str">
        <f>"Årlig renter "&amp;budgetår&amp;""</f>
        <v>Årlig renter 2024</v>
      </c>
      <c r="L12" s="2086" t="str">
        <f>"Ændringer i afdrag i "&amp;budgetår+1&amp;" i forhold til "&amp;budgetår&amp;""</f>
        <v>Ændringer i afdrag i 2025 i forhold til 2024</v>
      </c>
      <c r="M12" s="2087" t="str">
        <f>"Ændringer i renter i "&amp;budgetår+1&amp;" i forhold til "&amp;budgetår&amp;""</f>
        <v>Ændringer i renter i 2025 i forhold til 2024</v>
      </c>
    </row>
    <row r="13" spans="1:13" ht="18" customHeight="1">
      <c r="A13" s="29">
        <v>11</v>
      </c>
      <c r="B13" s="418" t="s">
        <v>88</v>
      </c>
      <c r="C13" s="419"/>
      <c r="D13" s="422"/>
      <c r="E13" s="416"/>
      <c r="F13" s="426"/>
      <c r="G13" s="418"/>
      <c r="H13" s="429"/>
      <c r="I13" s="425"/>
      <c r="J13" s="419"/>
      <c r="K13" s="2078"/>
      <c r="L13" s="2097"/>
      <c r="M13" s="2098"/>
    </row>
    <row r="14" spans="1:13" ht="18" customHeight="1">
      <c r="A14" s="29">
        <v>12</v>
      </c>
      <c r="B14" s="418" t="s">
        <v>150</v>
      </c>
      <c r="C14" s="419"/>
      <c r="D14" s="422"/>
      <c r="E14" s="416"/>
      <c r="F14" s="418"/>
      <c r="G14" s="418"/>
      <c r="H14" s="424"/>
      <c r="I14" s="425"/>
      <c r="J14" s="419"/>
      <c r="K14" s="428"/>
      <c r="L14" s="2099"/>
      <c r="M14" s="2100"/>
    </row>
    <row r="15" spans="1:13" ht="18" customHeight="1">
      <c r="A15" s="29">
        <v>13</v>
      </c>
      <c r="B15" s="418" t="s">
        <v>1374</v>
      </c>
      <c r="C15" s="419"/>
      <c r="D15" s="422"/>
      <c r="E15" s="418"/>
      <c r="F15" s="418"/>
      <c r="G15" s="418"/>
      <c r="H15" s="424"/>
      <c r="I15" s="430"/>
      <c r="J15" s="419"/>
      <c r="K15" s="428"/>
      <c r="L15" s="2099"/>
      <c r="M15" s="2100"/>
    </row>
    <row r="16" spans="1:13" ht="18" customHeight="1" thickBot="1">
      <c r="A16" s="29">
        <v>14</v>
      </c>
      <c r="B16" s="657"/>
      <c r="C16" s="419"/>
      <c r="D16" s="422"/>
      <c r="E16" s="418"/>
      <c r="F16" s="418"/>
      <c r="G16" s="418"/>
      <c r="H16" s="424"/>
      <c r="I16" s="430"/>
      <c r="J16" s="419"/>
      <c r="K16" s="428"/>
      <c r="L16" s="2097"/>
      <c r="M16" s="2098"/>
    </row>
    <row r="17" spans="1:13" ht="18" customHeight="1" thickBot="1">
      <c r="A17" s="244" t="s">
        <v>133</v>
      </c>
      <c r="B17" s="245"/>
      <c r="C17" s="246">
        <f>SUM(C13:C16)</f>
        <v>0</v>
      </c>
      <c r="D17" s="247"/>
      <c r="E17" s="223"/>
      <c r="F17" s="223"/>
      <c r="G17" s="223"/>
      <c r="H17" s="248"/>
      <c r="I17" s="246">
        <f>I13+I15</f>
        <v>0</v>
      </c>
      <c r="J17" s="222">
        <f>SUM(J13:J16)</f>
        <v>0</v>
      </c>
      <c r="K17" s="2079">
        <f>SUM(K13:K16)</f>
        <v>0</v>
      </c>
      <c r="L17" s="2088">
        <f>SUM(L13:L16)</f>
        <v>0</v>
      </c>
      <c r="M17" s="2089">
        <f>SUM(M13:M16)</f>
        <v>0</v>
      </c>
    </row>
    <row r="18" spans="1:13" s="42" customFormat="1" ht="41" customHeight="1">
      <c r="A18" s="30" t="s">
        <v>192</v>
      </c>
      <c r="B18" s="40" t="s">
        <v>134</v>
      </c>
      <c r="C18" s="32" t="s">
        <v>151</v>
      </c>
      <c r="D18" s="41" t="s">
        <v>152</v>
      </c>
      <c r="E18" s="31" t="s">
        <v>153</v>
      </c>
      <c r="F18" s="31" t="s">
        <v>154</v>
      </c>
      <c r="G18" s="31" t="s">
        <v>155</v>
      </c>
      <c r="H18" s="31" t="s">
        <v>156</v>
      </c>
      <c r="I18" s="2075" t="s">
        <v>157</v>
      </c>
      <c r="J18" s="2074" t="str">
        <f>"Årlig afdrag "&amp;budgetår&amp;""</f>
        <v>Årlig afdrag 2024</v>
      </c>
      <c r="K18" s="2077" t="str">
        <f>"Årlig renter "&amp;budgetår&amp;""</f>
        <v>Årlig renter 2024</v>
      </c>
      <c r="L18" s="2086" t="str">
        <f>"Ændringer i afdrag i "&amp;budgetår+1&amp;" i forhold til "&amp;budgetår&amp;""</f>
        <v>Ændringer i afdrag i 2025 i forhold til 2024</v>
      </c>
      <c r="M18" s="2087" t="str">
        <f>"Ændringer i renter i "&amp;budgetår+1&amp;" i forhold til "&amp;budgetår&amp;""</f>
        <v>Ændringer i renter i 2025 i forhold til 2024</v>
      </c>
    </row>
    <row r="19" spans="1:13" ht="18" customHeight="1">
      <c r="A19" s="29">
        <v>17</v>
      </c>
      <c r="B19" s="418" t="s">
        <v>308</v>
      </c>
      <c r="C19" s="419"/>
      <c r="D19" s="422"/>
      <c r="E19" s="418"/>
      <c r="F19" s="418"/>
      <c r="G19" s="418"/>
      <c r="H19" s="424"/>
      <c r="I19" s="430"/>
      <c r="J19" s="419"/>
      <c r="K19" s="2078"/>
      <c r="L19" s="2097"/>
      <c r="M19" s="2098"/>
    </row>
    <row r="20" spans="1:13" ht="18" customHeight="1">
      <c r="A20" s="29">
        <v>18</v>
      </c>
      <c r="B20" s="418"/>
      <c r="C20" s="419"/>
      <c r="D20" s="422"/>
      <c r="E20" s="418"/>
      <c r="F20" s="418"/>
      <c r="G20" s="418"/>
      <c r="H20" s="424"/>
      <c r="I20" s="430"/>
      <c r="J20" s="419"/>
      <c r="K20" s="2078"/>
      <c r="L20" s="2097"/>
      <c r="M20" s="2098"/>
    </row>
    <row r="21" spans="1:13" ht="18" customHeight="1">
      <c r="A21" s="29">
        <v>19</v>
      </c>
      <c r="B21" s="418"/>
      <c r="C21" s="419"/>
      <c r="D21" s="422"/>
      <c r="E21" s="418"/>
      <c r="F21" s="418"/>
      <c r="G21" s="418"/>
      <c r="H21" s="424"/>
      <c r="I21" s="430"/>
      <c r="J21" s="419"/>
      <c r="K21" s="2078"/>
      <c r="L21" s="2097"/>
      <c r="M21" s="2098"/>
    </row>
    <row r="22" spans="1:13" ht="18" customHeight="1" thickBot="1">
      <c r="A22" s="29">
        <v>20</v>
      </c>
      <c r="B22" s="418"/>
      <c r="C22" s="419"/>
      <c r="D22" s="422"/>
      <c r="E22" s="418"/>
      <c r="F22" s="418"/>
      <c r="G22" s="418"/>
      <c r="H22" s="424"/>
      <c r="I22" s="431"/>
      <c r="J22" s="420"/>
      <c r="K22" s="2078"/>
      <c r="L22" s="2097"/>
      <c r="M22" s="2098"/>
    </row>
    <row r="23" spans="1:13" ht="18" customHeight="1" thickBot="1">
      <c r="A23" s="631" t="s">
        <v>135</v>
      </c>
      <c r="B23" s="632"/>
      <c r="C23" s="633">
        <f>SUM(C19:C22)</f>
        <v>0</v>
      </c>
      <c r="D23" s="634"/>
      <c r="E23" s="635"/>
      <c r="F23" s="635"/>
      <c r="G23" s="635"/>
      <c r="H23" s="636"/>
      <c r="I23" s="633">
        <f>SUM(I19:I22)</f>
        <v>0</v>
      </c>
      <c r="J23" s="633">
        <f>SUM(J19:J22)</f>
        <v>0</v>
      </c>
      <c r="K23" s="2080">
        <f>SUM(K19:K22)</f>
        <v>0</v>
      </c>
      <c r="L23" s="2090">
        <f>SUM(L19:L22)</f>
        <v>0</v>
      </c>
      <c r="M23" s="2091">
        <f>SUM(M19:M22)</f>
        <v>0</v>
      </c>
    </row>
    <row r="24" spans="1:13" ht="18" customHeight="1" thickBot="1">
      <c r="A24" s="625" t="s">
        <v>57</v>
      </c>
      <c r="B24" s="626"/>
      <c r="C24" s="627"/>
      <c r="D24" s="628"/>
      <c r="E24" s="626"/>
      <c r="F24" s="626"/>
      <c r="G24" s="626"/>
      <c r="H24" s="629"/>
      <c r="I24" s="627"/>
      <c r="J24" s="627"/>
      <c r="K24" s="630"/>
    </row>
    <row r="25" spans="1:13" ht="15.75" customHeight="1">
      <c r="A25" s="250"/>
      <c r="B25" s="251"/>
      <c r="C25" s="644"/>
      <c r="D25" s="645"/>
      <c r="E25" s="646"/>
      <c r="F25" s="646"/>
      <c r="G25" s="646"/>
      <c r="H25" s="647"/>
      <c r="I25" s="648" t="str">
        <f>"Afdrag nedskriver langfristet gæld i status i hovedskema."</f>
        <v>Afdrag nedskriver langfristet gæld i status i hovedskema.</v>
      </c>
      <c r="J25" s="649">
        <f>J23+J17+J11+J6</f>
        <v>0</v>
      </c>
      <c r="K25" s="650"/>
    </row>
    <row r="26" spans="1:13" ht="15.75" customHeight="1" thickBot="1">
      <c r="A26" s="252"/>
      <c r="B26" s="253"/>
      <c r="C26" s="637"/>
      <c r="D26" s="638"/>
      <c r="E26" s="639"/>
      <c r="F26" s="639"/>
      <c r="G26" s="639"/>
      <c r="H26" s="640"/>
      <c r="I26" s="641" t="str">
        <f>" Renteudgift til hovedskema "</f>
        <v xml:space="preserve"> Renteudgift til hovedskema </v>
      </c>
      <c r="J26" s="642"/>
      <c r="K26" s="643">
        <f>K23+K17+K11+K6</f>
        <v>0</v>
      </c>
    </row>
    <row r="27" spans="1:13" ht="18" customHeight="1"/>
    <row r="28" spans="1:13" ht="18" customHeight="1">
      <c r="B28" s="1"/>
      <c r="C28" s="1"/>
      <c r="D28" s="43"/>
    </row>
    <row r="29" spans="1:13" ht="18" customHeight="1">
      <c r="B29" s="2796"/>
      <c r="C29" s="2796"/>
      <c r="D29" s="43"/>
    </row>
    <row r="30" spans="1:13">
      <c r="B30" s="7"/>
      <c r="C30" s="7"/>
      <c r="L30" s="26"/>
    </row>
    <row r="31" spans="1:13">
      <c r="L31" s="26"/>
    </row>
    <row r="32" spans="1:13">
      <c r="L32" s="26"/>
    </row>
    <row r="33" spans="12:12">
      <c r="L33" s="26"/>
    </row>
    <row r="34" spans="12:12">
      <c r="L34" s="26"/>
    </row>
    <row r="35" spans="12:12" ht="15.75" customHeight="1"/>
  </sheetData>
  <sheetProtection sheet="1" formatCells="0" formatColumns="0" formatRows="0" selectLockedCells="1"/>
  <mergeCells count="1">
    <mergeCell ref="B29:C29"/>
  </mergeCells>
  <phoneticPr fontId="55" type="noConversion"/>
  <printOptions horizontalCentered="1"/>
  <pageMargins left="0.79" right="0.67" top="0.98" bottom="0.83" header="0.51" footer="0.51"/>
  <pageSetup paperSize="9" scale="73" orientation="portrait"/>
  <headerFooter alignWithMargins="0">
    <oddHeader>&amp;CRENTEOMKOSTNINGER</oddHeader>
    <oddFooter>&amp;L&amp;G&amp;R
&amp;D
&amp;A</oddFooter>
  </headerFooter>
  <drawing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tabColor rgb="FFFFFF00"/>
    <pageSetUpPr fitToPage="1"/>
  </sheetPr>
  <dimension ref="A1:J94"/>
  <sheetViews>
    <sheetView topLeftCell="A24" workbookViewId="0"/>
  </sheetViews>
  <sheetFormatPr baseColWidth="10" defaultColWidth="11.33203125" defaultRowHeight="13"/>
  <cols>
    <col min="1" max="1" width="4.83203125" customWidth="1"/>
    <col min="2" max="2" width="50.83203125" customWidth="1"/>
    <col min="3" max="6" width="15.5" customWidth="1"/>
  </cols>
  <sheetData>
    <row r="1" spans="1:8" s="141" customFormat="1" ht="26.25" customHeight="1" thickBot="1">
      <c r="B1" s="149"/>
      <c r="C1" s="149"/>
      <c r="D1" s="149"/>
      <c r="E1" s="144"/>
      <c r="F1" s="142"/>
    </row>
    <row r="2" spans="1:8" ht="26.25" customHeight="1" thickBot="1">
      <c r="A2" s="3264" t="s">
        <v>353</v>
      </c>
      <c r="B2" s="3264"/>
      <c r="C2" s="3264"/>
      <c r="D2" s="3264"/>
      <c r="E2" s="3264"/>
      <c r="F2" s="3264"/>
    </row>
    <row r="3" spans="1:8" ht="30" customHeight="1">
      <c r="A3" s="254"/>
      <c r="B3" s="255"/>
      <c r="C3" s="256" t="s">
        <v>288</v>
      </c>
      <c r="D3" s="256" t="s">
        <v>288</v>
      </c>
      <c r="E3" s="257" t="s">
        <v>289</v>
      </c>
      <c r="F3" s="258" t="s">
        <v>289</v>
      </c>
    </row>
    <row r="4" spans="1:8" ht="42" customHeight="1" thickBot="1">
      <c r="A4" s="259"/>
      <c r="B4" s="225" t="s">
        <v>274</v>
      </c>
      <c r="C4" s="260">
        <f>E4-2</f>
        <v>2022</v>
      </c>
      <c r="D4" s="260">
        <f>E4-1</f>
        <v>2023</v>
      </c>
      <c r="E4" s="261">
        <f>Forside!B6</f>
        <v>2024</v>
      </c>
      <c r="F4" s="262" t="str">
        <f>budgetår+1&amp;"            "&amp;"("&amp;budgetår&amp;"+                  "&amp;fremskrivning*100&amp;"%)"</f>
        <v>2025            (2024+                  1,5%)</v>
      </c>
    </row>
    <row r="5" spans="1:8" ht="16" customHeight="1">
      <c r="A5" s="263"/>
      <c r="B5" s="226" t="s">
        <v>275</v>
      </c>
      <c r="C5" s="227">
        <f>Hovedskema!D5</f>
        <v>0</v>
      </c>
      <c r="D5" s="227">
        <f>Hovedskema!E5</f>
        <v>0</v>
      </c>
      <c r="E5" s="227">
        <f>Hovedskema!F5</f>
        <v>0</v>
      </c>
      <c r="F5" s="264">
        <f>Hovedskema!G5</f>
        <v>0</v>
      </c>
    </row>
    <row r="6" spans="1:8" ht="15" customHeight="1" thickBot="1">
      <c r="A6" s="265"/>
      <c r="B6" s="228" t="s">
        <v>276</v>
      </c>
      <c r="C6" s="229">
        <f>Hovedskema!D6</f>
        <v>0</v>
      </c>
      <c r="D6" s="229">
        <f>Hovedskema!E6</f>
        <v>0</v>
      </c>
      <c r="E6" s="229">
        <f>Hovedskema!F6</f>
        <v>0</v>
      </c>
      <c r="F6" s="266">
        <f>Hovedskema!G6</f>
        <v>0</v>
      </c>
    </row>
    <row r="7" spans="1:8">
      <c r="A7" s="267">
        <v>1</v>
      </c>
      <c r="B7" s="54" t="s">
        <v>204</v>
      </c>
      <c r="C7" s="129">
        <f>Hovedskema!D12+Hovedskema!D13</f>
        <v>0</v>
      </c>
      <c r="D7" s="129">
        <f>Hovedskema!E12+Hovedskema!E13</f>
        <v>0</v>
      </c>
      <c r="E7" s="129">
        <f>Hovedskema!F12+Hovedskema!F13</f>
        <v>137755</v>
      </c>
      <c r="F7" s="268">
        <f>Hovedskema!G12+Hovedskema!G13</f>
        <v>137755</v>
      </c>
    </row>
    <row r="8" spans="1:8">
      <c r="A8" s="267">
        <f>A7+1</f>
        <v>2</v>
      </c>
      <c r="B8" s="54" t="s">
        <v>244</v>
      </c>
      <c r="C8" s="224" t="e">
        <f>Hovedskema!#REF!</f>
        <v>#REF!</v>
      </c>
      <c r="D8" s="224" t="e">
        <f>Hovedskema!#REF!</f>
        <v>#REF!</v>
      </c>
      <c r="E8" s="224" t="e">
        <f>Hovedskema!#REF!</f>
        <v>#REF!</v>
      </c>
      <c r="F8" s="269" t="e">
        <f>Hovedskema!#REF!</f>
        <v>#REF!</v>
      </c>
      <c r="G8" s="50"/>
    </row>
    <row r="9" spans="1:8">
      <c r="A9" s="267">
        <f>A8+1</f>
        <v>3</v>
      </c>
      <c r="B9" s="54" t="s">
        <v>280</v>
      </c>
      <c r="C9" s="224">
        <f>Hovedskema!D15+Hovedskema!D16+Hovedskema!D18</f>
        <v>0</v>
      </c>
      <c r="D9" s="224">
        <f>Hovedskema!E15+Hovedskema!E16+Hovedskema!E18</f>
        <v>0</v>
      </c>
      <c r="E9" s="224">
        <f>Hovedskema!F15+Hovedskema!F16+Hovedskema!F18</f>
        <v>0</v>
      </c>
      <c r="F9" s="269">
        <f>Hovedskema!G15+Hovedskema!G16+Hovedskema!G18</f>
        <v>0</v>
      </c>
      <c r="G9" s="50"/>
    </row>
    <row r="10" spans="1:8">
      <c r="A10" s="267">
        <f>A9+1</f>
        <v>4</v>
      </c>
      <c r="B10" s="54" t="s">
        <v>236</v>
      </c>
      <c r="C10" s="224">
        <f>Hovedskema!D28</f>
        <v>0</v>
      </c>
      <c r="D10" s="224">
        <f>Hovedskema!E28</f>
        <v>0</v>
      </c>
      <c r="E10" s="224">
        <f>Hovedskema!F28</f>
        <v>0</v>
      </c>
      <c r="F10" s="269">
        <f>Hovedskema!G28</f>
        <v>0</v>
      </c>
    </row>
    <row r="11" spans="1:8">
      <c r="A11" s="270"/>
      <c r="B11" s="271" t="s">
        <v>237</v>
      </c>
      <c r="C11" s="173" t="e">
        <f>SUM(C7:C10)</f>
        <v>#REF!</v>
      </c>
      <c r="D11" s="173" t="e">
        <f>SUM(D7:D10)</f>
        <v>#REF!</v>
      </c>
      <c r="E11" s="173" t="e">
        <f>SUM(E7:E10)</f>
        <v>#REF!</v>
      </c>
      <c r="F11" s="272" t="e">
        <f>SUM(F7:F10)</f>
        <v>#REF!</v>
      </c>
    </row>
    <row r="12" spans="1:8">
      <c r="A12" s="267">
        <f>A10+1</f>
        <v>5</v>
      </c>
      <c r="B12" s="54" t="s">
        <v>290</v>
      </c>
      <c r="C12" s="224" t="e">
        <f>Hovedskema!D43-Hovedskema!D40-Hovedskema!D39-Hovedskema!#REF!</f>
        <v>#REF!</v>
      </c>
      <c r="D12" s="224" t="e">
        <f>Hovedskema!E43-Hovedskema!E40-Hovedskema!E39-Hovedskema!#REF!</f>
        <v>#REF!</v>
      </c>
      <c r="E12" s="224" t="e" vm="1">
        <f>Hovedskema!F43-Hovedskema!F40-Hovedskema!F39-Hovedskema!#REF!</f>
        <v>#VALUE!</v>
      </c>
      <c r="F12" s="269" t="e" vm="1">
        <f>Hovedskema!G43-Hovedskema!G40-Hovedskema!G39-Hovedskema!#REF!</f>
        <v>#VALUE!</v>
      </c>
    </row>
    <row r="13" spans="1:8">
      <c r="A13" s="267">
        <f>A12+1</f>
        <v>6</v>
      </c>
      <c r="B13" s="54" t="s">
        <v>259</v>
      </c>
      <c r="C13" s="224">
        <f>Hovedskema!D39</f>
        <v>0</v>
      </c>
      <c r="D13" s="224">
        <f>Hovedskema!E39</f>
        <v>0</v>
      </c>
      <c r="E13" s="224">
        <f>Hovedskema!F39</f>
        <v>0</v>
      </c>
      <c r="F13" s="269">
        <f>Hovedskema!G39</f>
        <v>0</v>
      </c>
      <c r="G13" s="3"/>
      <c r="H13" s="3"/>
    </row>
    <row r="14" spans="1:8">
      <c r="A14" s="267">
        <f>A13+1</f>
        <v>7</v>
      </c>
      <c r="B14" s="54" t="s">
        <v>195</v>
      </c>
      <c r="C14" s="224" t="e">
        <f>Hovedskema!D40+Hovedskema!#REF!</f>
        <v>#REF!</v>
      </c>
      <c r="D14" s="224" t="e">
        <f>Hovedskema!E40+Hovedskema!#REF!</f>
        <v>#REF!</v>
      </c>
      <c r="E14" s="224" t="e">
        <f>Hovedskema!F40+Hovedskema!#REF!</f>
        <v>#REF!</v>
      </c>
      <c r="F14" s="269" t="e">
        <f>Hovedskema!G40+Hovedskema!#REF!</f>
        <v>#REF!</v>
      </c>
    </row>
    <row r="15" spans="1:8">
      <c r="A15" s="270"/>
      <c r="B15" s="271" t="s">
        <v>196</v>
      </c>
      <c r="C15" s="173" t="e">
        <f>SUM(C12:C14)</f>
        <v>#REF!</v>
      </c>
      <c r="D15" s="173" t="e">
        <f>SUM(D12:D14)</f>
        <v>#REF!</v>
      </c>
      <c r="E15" s="173" t="e" vm="1">
        <f>SUM(E12:E14)</f>
        <v>#VALUE!</v>
      </c>
      <c r="F15" s="272" t="e" vm="1">
        <f>SUM(F12:F14)</f>
        <v>#VALUE!</v>
      </c>
    </row>
    <row r="16" spans="1:8">
      <c r="A16" s="267">
        <f>A14+1</f>
        <v>8</v>
      </c>
      <c r="B16" s="54" t="s">
        <v>197</v>
      </c>
      <c r="C16" s="224" t="e">
        <f>Hovedskema!D45+Hovedskema!D46+Hovedskema!#REF!</f>
        <v>#REF!</v>
      </c>
      <c r="D16" s="224" t="e">
        <f>Hovedskema!E45+Hovedskema!E46+Hovedskema!#REF!</f>
        <v>#REF!</v>
      </c>
      <c r="E16" s="224" t="e">
        <f>Hovedskema!F45+Hovedskema!F46+Hovedskema!#REF!</f>
        <v>#REF!</v>
      </c>
      <c r="F16" s="269" t="e">
        <f>Hovedskema!G45+Hovedskema!G46+Hovedskema!#REF!</f>
        <v>#REF!</v>
      </c>
    </row>
    <row r="17" spans="1:6">
      <c r="A17" s="267">
        <f>A16+1</f>
        <v>9</v>
      </c>
      <c r="B17" s="54" t="s">
        <v>198</v>
      </c>
      <c r="C17" s="224" t="e">
        <f>Hovedskema!D53-C16</f>
        <v>#REF!</v>
      </c>
      <c r="D17" s="224" t="e">
        <f>Hovedskema!E53-D16</f>
        <v>#REF!</v>
      </c>
      <c r="E17" s="224" t="e">
        <f>Hovedskema!F53-E16</f>
        <v>#REF!</v>
      </c>
      <c r="F17" s="269" t="e">
        <f>Hovedskema!G53-F16</f>
        <v>#REF!</v>
      </c>
    </row>
    <row r="18" spans="1:6">
      <c r="A18" s="270"/>
      <c r="B18" s="271" t="s">
        <v>176</v>
      </c>
      <c r="C18" s="173" t="e">
        <f>SUM(C16:C17)</f>
        <v>#REF!</v>
      </c>
      <c r="D18" s="173" t="e">
        <f>SUM(D16:D17)</f>
        <v>#REF!</v>
      </c>
      <c r="E18" s="173" t="e">
        <f>SUM(E16:E17)</f>
        <v>#REF!</v>
      </c>
      <c r="F18" s="272" t="e">
        <f>SUM(F16:F17)</f>
        <v>#REF!</v>
      </c>
    </row>
    <row r="19" spans="1:6">
      <c r="A19" s="267">
        <f>A17+1</f>
        <v>10</v>
      </c>
      <c r="B19" s="54" t="s">
        <v>294</v>
      </c>
      <c r="C19" s="230" t="e">
        <f>Hovedskema!D54+Hovedskema!D56+Hovedskema!#REF!</f>
        <v>#REF!</v>
      </c>
      <c r="D19" s="230" t="e">
        <f>Hovedskema!E54+Hovedskema!E56+Hovedskema!#REF!</f>
        <v>#REF!</v>
      </c>
      <c r="E19" s="230" t="e">
        <f>Hovedskema!F54+Hovedskema!F56+Hovedskema!#REF!</f>
        <v>#REF!</v>
      </c>
      <c r="F19" s="273" t="e">
        <f>Hovedskema!G54+Hovedskema!G56+Hovedskema!#REF!</f>
        <v>#REF!</v>
      </c>
    </row>
    <row r="20" spans="1:6">
      <c r="A20" s="267">
        <f>A19+1</f>
        <v>11</v>
      </c>
      <c r="B20" s="54" t="s">
        <v>295</v>
      </c>
      <c r="C20" s="230" t="e">
        <f>Hovedskema!D59-C19</f>
        <v>#REF!</v>
      </c>
      <c r="D20" s="230" t="e">
        <f>Hovedskema!E59-D19</f>
        <v>#REF!</v>
      </c>
      <c r="E20" s="230" t="e">
        <f>Hovedskema!F59-E19</f>
        <v>#REF!</v>
      </c>
      <c r="F20" s="273" t="e">
        <f>Hovedskema!G59-F19</f>
        <v>#REF!</v>
      </c>
    </row>
    <row r="21" spans="1:6">
      <c r="A21" s="270"/>
      <c r="B21" s="151" t="s">
        <v>215</v>
      </c>
      <c r="C21" s="232" t="e">
        <f>SUM(C19:C20)</f>
        <v>#REF!</v>
      </c>
      <c r="D21" s="232" t="e">
        <f>SUM(D19:D20)</f>
        <v>#REF!</v>
      </c>
      <c r="E21" s="232" t="e">
        <f>SUM(E19:E20)</f>
        <v>#REF!</v>
      </c>
      <c r="F21" s="274" t="e">
        <f>SUM(F19:F20)</f>
        <v>#REF!</v>
      </c>
    </row>
    <row r="22" spans="1:6">
      <c r="A22" s="267">
        <f>A20+1</f>
        <v>12</v>
      </c>
      <c r="B22" s="54" t="s">
        <v>199</v>
      </c>
      <c r="C22" s="224" t="e">
        <f>Hovedskema!D61+Hovedskema!D62+Hovedskema!#REF!</f>
        <v>#REF!</v>
      </c>
      <c r="D22" s="224" t="e">
        <f>Hovedskema!E61+Hovedskema!E62+Hovedskema!#REF!</f>
        <v>#REF!</v>
      </c>
      <c r="E22" s="224" t="e">
        <f>Hovedskema!F61+Hovedskema!F62+Hovedskema!#REF!</f>
        <v>#REF!</v>
      </c>
      <c r="F22" s="269" t="e">
        <f>Hovedskema!G61+Hovedskema!G62+Hovedskema!#REF!</f>
        <v>#REF!</v>
      </c>
    </row>
    <row r="23" spans="1:6">
      <c r="A23" s="267">
        <f>A22+1</f>
        <v>13</v>
      </c>
      <c r="B23" s="54" t="s">
        <v>200</v>
      </c>
      <c r="C23" s="224" t="e">
        <f>Hovedskema!D65-C22</f>
        <v>#REF!</v>
      </c>
      <c r="D23" s="224" t="e">
        <f>Hovedskema!E65-D22</f>
        <v>#REF!</v>
      </c>
      <c r="E23" s="224" t="e">
        <f>Hovedskema!F65-E22</f>
        <v>#REF!</v>
      </c>
      <c r="F23" s="269" t="e">
        <f>Hovedskema!G65-F22</f>
        <v>#REF!</v>
      </c>
    </row>
    <row r="24" spans="1:6">
      <c r="A24" s="270"/>
      <c r="B24" s="151" t="s">
        <v>222</v>
      </c>
      <c r="C24" s="232" t="e">
        <f>SUM(C22:C23)</f>
        <v>#REF!</v>
      </c>
      <c r="D24" s="232" t="e">
        <f>SUM(D22:D23)</f>
        <v>#REF!</v>
      </c>
      <c r="E24" s="232" t="e">
        <f>SUM(E22:E23)</f>
        <v>#REF!</v>
      </c>
      <c r="F24" s="274" t="e">
        <f>SUM(F22:F23)</f>
        <v>#REF!</v>
      </c>
    </row>
    <row r="25" spans="1:6">
      <c r="A25" s="270"/>
      <c r="B25" s="152" t="s">
        <v>271</v>
      </c>
      <c r="C25" s="232">
        <f>Hovedskema!D66</f>
        <v>0</v>
      </c>
      <c r="D25" s="232">
        <f>Hovedskema!E66</f>
        <v>0</v>
      </c>
      <c r="E25" s="232" t="e" vm="1">
        <f>Hovedskema!F66</f>
        <v>#VALUE!</v>
      </c>
      <c r="F25" s="274" t="e" vm="1">
        <f>Hovedskema!G66</f>
        <v>#VALUE!</v>
      </c>
    </row>
    <row r="26" spans="1:6">
      <c r="A26" s="270"/>
      <c r="B26" s="152" t="s">
        <v>223</v>
      </c>
      <c r="C26" s="232">
        <f>Hovedskema!D67</f>
        <v>0</v>
      </c>
      <c r="D26" s="232">
        <f>Hovedskema!E67</f>
        <v>0</v>
      </c>
      <c r="E26" s="232" t="e" vm="1">
        <f>Hovedskema!F67</f>
        <v>#VALUE!</v>
      </c>
      <c r="F26" s="274" t="e" vm="1">
        <f>Hovedskema!G67</f>
        <v>#VALUE!</v>
      </c>
    </row>
    <row r="27" spans="1:6">
      <c r="A27" s="267">
        <f>A23+1</f>
        <v>14</v>
      </c>
      <c r="B27" s="131" t="s">
        <v>224</v>
      </c>
      <c r="C27" s="233">
        <f>Hovedskema!D73</f>
        <v>0</v>
      </c>
      <c r="D27" s="233">
        <f>Hovedskema!E73</f>
        <v>0</v>
      </c>
      <c r="E27" s="233">
        <f>Hovedskema!F73</f>
        <v>0</v>
      </c>
      <c r="F27" s="275">
        <f>Hovedskema!G73</f>
        <v>0</v>
      </c>
    </row>
    <row r="28" spans="1:6">
      <c r="A28" s="267">
        <f>A27+1</f>
        <v>15</v>
      </c>
      <c r="B28" s="54" t="s">
        <v>225</v>
      </c>
      <c r="C28" s="224">
        <f>Hovedskema!D77</f>
        <v>0</v>
      </c>
      <c r="D28" s="224">
        <f>Hovedskema!E77</f>
        <v>0</v>
      </c>
      <c r="E28" s="224">
        <f>Hovedskema!F77</f>
        <v>0</v>
      </c>
      <c r="F28" s="269">
        <f>Hovedskema!G77</f>
        <v>0</v>
      </c>
    </row>
    <row r="29" spans="1:6">
      <c r="A29" s="270"/>
      <c r="B29" s="151" t="s">
        <v>226</v>
      </c>
      <c r="C29" s="234">
        <f>C27-C28</f>
        <v>0</v>
      </c>
      <c r="D29" s="234">
        <f>D27-D28</f>
        <v>0</v>
      </c>
      <c r="E29" s="234">
        <f>E27-E28</f>
        <v>0</v>
      </c>
      <c r="F29" s="276">
        <f>F27-F28</f>
        <v>0</v>
      </c>
    </row>
    <row r="30" spans="1:6">
      <c r="A30" s="270"/>
      <c r="B30" s="152" t="s">
        <v>227</v>
      </c>
      <c r="C30" s="234">
        <f>C26+C29</f>
        <v>0</v>
      </c>
      <c r="D30" s="234">
        <f>D26+D29</f>
        <v>0</v>
      </c>
      <c r="E30" s="234" t="e" vm="1">
        <f>E26+E29</f>
        <v>#VALUE!</v>
      </c>
      <c r="F30" s="276" t="e" vm="1">
        <f>F26+F29</f>
        <v>#VALUE!</v>
      </c>
    </row>
    <row r="31" spans="1:6">
      <c r="A31" s="267">
        <f>A28+1</f>
        <v>16</v>
      </c>
      <c r="B31" s="235" t="s">
        <v>228</v>
      </c>
      <c r="C31" s="224">
        <f>Hovedskema!D80</f>
        <v>0</v>
      </c>
      <c r="D31" s="224">
        <f>Hovedskema!E80</f>
        <v>0</v>
      </c>
      <c r="E31" s="224">
        <f>Hovedskema!F80</f>
        <v>0</v>
      </c>
      <c r="F31" s="269">
        <f>Hovedskema!G80</f>
        <v>0</v>
      </c>
    </row>
    <row r="32" spans="1:6">
      <c r="A32" s="267">
        <f>A31+1</f>
        <v>17</v>
      </c>
      <c r="B32" s="235" t="s">
        <v>282</v>
      </c>
      <c r="C32" s="224">
        <f>Hovedskema!D81</f>
        <v>0</v>
      </c>
      <c r="D32" s="224">
        <f>Hovedskema!E81</f>
        <v>0</v>
      </c>
      <c r="E32" s="224">
        <f>Hovedskema!F81</f>
        <v>0</v>
      </c>
      <c r="F32" s="269">
        <f>Hovedskema!G81</f>
        <v>0</v>
      </c>
    </row>
    <row r="33" spans="1:6">
      <c r="A33" s="270"/>
      <c r="B33" s="151" t="s">
        <v>248</v>
      </c>
      <c r="C33" s="234">
        <f>Hovedskema!D82</f>
        <v>0</v>
      </c>
      <c r="D33" s="234">
        <f>Hovedskema!E82</f>
        <v>0</v>
      </c>
      <c r="E33" s="234">
        <f>Hovedskema!F82</f>
        <v>0</v>
      </c>
      <c r="F33" s="276">
        <f>Hovedskema!G82</f>
        <v>0</v>
      </c>
    </row>
    <row r="34" spans="1:6">
      <c r="A34" s="270"/>
      <c r="B34" s="151" t="s">
        <v>249</v>
      </c>
      <c r="C34" s="232">
        <f>C30+C33</f>
        <v>0</v>
      </c>
      <c r="D34" s="232">
        <f>D30+D33</f>
        <v>0</v>
      </c>
      <c r="E34" s="232" t="e" vm="1">
        <f>E30+E33</f>
        <v>#VALUE!</v>
      </c>
      <c r="F34" s="274" t="e" vm="1">
        <f>F30+F33</f>
        <v>#VALUE!</v>
      </c>
    </row>
    <row r="35" spans="1:6">
      <c r="A35" s="277"/>
      <c r="C35" s="231"/>
      <c r="D35" s="231"/>
      <c r="E35" s="231"/>
      <c r="F35" s="278"/>
    </row>
    <row r="36" spans="1:6">
      <c r="A36" s="277"/>
      <c r="B36" s="3" t="s">
        <v>171</v>
      </c>
      <c r="C36" s="231"/>
      <c r="D36" s="231"/>
      <c r="E36" s="231"/>
      <c r="F36" s="278"/>
    </row>
    <row r="37" spans="1:6">
      <c r="A37" s="267">
        <f>A32+1</f>
        <v>18</v>
      </c>
      <c r="B37" s="54" t="str">
        <f>Hovedskema!C86</f>
        <v>Ejendomme</v>
      </c>
      <c r="C37" s="129">
        <f>Hovedskema!D86</f>
        <v>0</v>
      </c>
      <c r="D37" s="129">
        <f>Hovedskema!E86</f>
        <v>0</v>
      </c>
      <c r="E37" s="129">
        <f>Hovedskema!F86</f>
        <v>0</v>
      </c>
      <c r="F37" s="268">
        <f>Hovedskema!G86</f>
        <v>0</v>
      </c>
    </row>
    <row r="38" spans="1:6">
      <c r="A38" s="267">
        <f>A37+1</f>
        <v>19</v>
      </c>
      <c r="B38" s="54" t="str">
        <f>Hovedskema!C87</f>
        <v>Inventar og udstyr, undervisning</v>
      </c>
      <c r="C38" s="129">
        <f>Hovedskema!D87</f>
        <v>0</v>
      </c>
      <c r="D38" s="129">
        <f>Hovedskema!E87</f>
        <v>0</v>
      </c>
      <c r="E38" s="129">
        <f>Hovedskema!F87</f>
        <v>0</v>
      </c>
      <c r="F38" s="268">
        <f>Hovedskema!G87</f>
        <v>0</v>
      </c>
    </row>
    <row r="39" spans="1:6">
      <c r="A39" s="267">
        <f>A38+1</f>
        <v>20</v>
      </c>
      <c r="B39" s="54" t="str">
        <f>Hovedskema!C88</f>
        <v>Inventar og udstyr, administration</v>
      </c>
      <c r="C39" s="129">
        <f>Hovedskema!D88</f>
        <v>0</v>
      </c>
      <c r="D39" s="129">
        <f>Hovedskema!E88</f>
        <v>0</v>
      </c>
      <c r="E39" s="129">
        <f>Hovedskema!F88</f>
        <v>0</v>
      </c>
      <c r="F39" s="268">
        <f>Hovedskema!G88</f>
        <v>0</v>
      </c>
    </row>
    <row r="40" spans="1:6">
      <c r="A40" s="267">
        <f>A39+1</f>
        <v>21</v>
      </c>
      <c r="B40" s="54" t="str">
        <f>Hovedskema!C89</f>
        <v>Bus m.v.</v>
      </c>
      <c r="C40" s="129">
        <f>Hovedskema!D89</f>
        <v>0</v>
      </c>
      <c r="D40" s="129">
        <f>Hovedskema!E89</f>
        <v>0</v>
      </c>
      <c r="E40" s="129">
        <f>Hovedskema!F89</f>
        <v>0</v>
      </c>
      <c r="F40" s="268">
        <f>Hovedskema!G89</f>
        <v>0</v>
      </c>
    </row>
    <row r="41" spans="1:6">
      <c r="A41" s="267">
        <f>A40+1</f>
        <v>22</v>
      </c>
      <c r="B41" s="54" t="str">
        <f>Hovedskema!C90</f>
        <v>Deposita, Bankaktier</v>
      </c>
      <c r="C41" s="129">
        <f>Hovedskema!D90</f>
        <v>0</v>
      </c>
      <c r="D41" s="129">
        <f>Hovedskema!E90</f>
        <v>0</v>
      </c>
      <c r="E41" s="129">
        <f>Hovedskema!F90</f>
        <v>0</v>
      </c>
      <c r="F41" s="268">
        <f>Hovedskema!G90</f>
        <v>0</v>
      </c>
    </row>
    <row r="42" spans="1:6">
      <c r="A42" s="267">
        <f>A41+1</f>
        <v>23</v>
      </c>
      <c r="B42" s="54" t="str">
        <f>Hovedskema!C91</f>
        <v>Andele i forsyningsvirksomheder</v>
      </c>
      <c r="C42" s="129">
        <f>Hovedskema!D91</f>
        <v>0</v>
      </c>
      <c r="D42" s="129">
        <f>Hovedskema!E91</f>
        <v>0</v>
      </c>
      <c r="E42" s="129">
        <f>Hovedskema!F91</f>
        <v>0</v>
      </c>
      <c r="F42" s="268">
        <f>Hovedskema!G91</f>
        <v>0</v>
      </c>
    </row>
    <row r="43" spans="1:6">
      <c r="A43" s="267">
        <f t="shared" ref="A43:A56" si="0">A42+1</f>
        <v>24</v>
      </c>
      <c r="B43" s="151" t="str">
        <f>Hovedskema!C92</f>
        <v>ANLÆGSAKTIVER I ALT:</v>
      </c>
      <c r="C43" s="138">
        <f>Hovedskema!D92</f>
        <v>0</v>
      </c>
      <c r="D43" s="138">
        <f>Hovedskema!E92</f>
        <v>0</v>
      </c>
      <c r="E43" s="138">
        <f>Hovedskema!F92</f>
        <v>0</v>
      </c>
      <c r="F43" s="279">
        <f>Hovedskema!G92</f>
        <v>0</v>
      </c>
    </row>
    <row r="44" spans="1:6">
      <c r="A44" s="267">
        <f t="shared" si="0"/>
        <v>25</v>
      </c>
      <c r="B44" s="54" t="str">
        <f>Hovedskema!C93</f>
        <v>Tilgodehavender</v>
      </c>
      <c r="C44" s="129">
        <f>Hovedskema!D93</f>
        <v>0</v>
      </c>
      <c r="D44" s="129">
        <f>Hovedskema!E93</f>
        <v>0</v>
      </c>
      <c r="E44" s="129">
        <f>Hovedskema!F93</f>
        <v>0</v>
      </c>
      <c r="F44" s="268">
        <f>Hovedskema!G93</f>
        <v>0</v>
      </c>
    </row>
    <row r="45" spans="1:6">
      <c r="A45" s="267">
        <f t="shared" si="0"/>
        <v>26</v>
      </c>
      <c r="B45" s="54" t="str">
        <f>Hovedskema!C94</f>
        <v>Forudbetalte udgifter</v>
      </c>
      <c r="C45" s="129">
        <f>Hovedskema!D94</f>
        <v>0</v>
      </c>
      <c r="D45" s="129">
        <f>Hovedskema!E94</f>
        <v>0</v>
      </c>
      <c r="E45" s="129">
        <f>Hovedskema!F94</f>
        <v>0</v>
      </c>
      <c r="F45" s="268">
        <f>Hovedskema!G94</f>
        <v>0</v>
      </c>
    </row>
    <row r="46" spans="1:6">
      <c r="A46" s="267">
        <f t="shared" si="0"/>
        <v>27</v>
      </c>
      <c r="B46" s="54" t="str">
        <f>Hovedskema!C95</f>
        <v>Værdipapirer</v>
      </c>
      <c r="C46" s="129">
        <f>Hovedskema!D95</f>
        <v>0</v>
      </c>
      <c r="D46" s="129">
        <f>Hovedskema!E95</f>
        <v>0</v>
      </c>
      <c r="E46" s="129">
        <f>Hovedskema!F95</f>
        <v>0</v>
      </c>
      <c r="F46" s="268">
        <f>Hovedskema!G95</f>
        <v>0</v>
      </c>
    </row>
    <row r="47" spans="1:6">
      <c r="A47" s="267">
        <f t="shared" si="0"/>
        <v>28</v>
      </c>
      <c r="B47" s="54" t="str">
        <f>Hovedskema!C96</f>
        <v>Likvide beholdninger</v>
      </c>
      <c r="C47" s="129">
        <f>Hovedskema!D96</f>
        <v>0</v>
      </c>
      <c r="D47" s="129">
        <f>Hovedskema!E96</f>
        <v>0</v>
      </c>
      <c r="E47" s="129">
        <f>Hovedskema!F96</f>
        <v>0</v>
      </c>
      <c r="F47" s="268">
        <f>Hovedskema!G96</f>
        <v>0</v>
      </c>
    </row>
    <row r="48" spans="1:6">
      <c r="A48" s="267">
        <f t="shared" si="0"/>
        <v>29</v>
      </c>
      <c r="B48" s="151" t="str">
        <f>Hovedskema!C97</f>
        <v>OMSÆTNINGSAKTIVER I ALT:</v>
      </c>
      <c r="C48" s="138">
        <f>Hovedskema!D97</f>
        <v>0</v>
      </c>
      <c r="D48" s="138">
        <f>Hovedskema!E97</f>
        <v>0</v>
      </c>
      <c r="E48" s="138">
        <f>Hovedskema!F97</f>
        <v>0</v>
      </c>
      <c r="F48" s="279">
        <f>Hovedskema!G97</f>
        <v>0</v>
      </c>
    </row>
    <row r="49" spans="1:6">
      <c r="A49" s="267">
        <f t="shared" si="0"/>
        <v>30</v>
      </c>
      <c r="B49" s="151" t="str">
        <f>Hovedskema!C98</f>
        <v>AKTIVER I ALT:</v>
      </c>
      <c r="C49" s="138">
        <f>Hovedskema!D98</f>
        <v>0</v>
      </c>
      <c r="D49" s="138">
        <f>Hovedskema!E98</f>
        <v>0</v>
      </c>
      <c r="E49" s="138">
        <f>Hovedskema!F98</f>
        <v>0</v>
      </c>
      <c r="F49" s="279">
        <f>Hovedskema!G98</f>
        <v>0</v>
      </c>
    </row>
    <row r="50" spans="1:6">
      <c r="A50" s="267">
        <f t="shared" si="0"/>
        <v>31</v>
      </c>
      <c r="B50" s="151" t="str">
        <f>Hovedskema!C99</f>
        <v xml:space="preserve">EGENKAPITAL 31/12 </v>
      </c>
      <c r="C50" s="138">
        <f>Hovedskema!D99</f>
        <v>0</v>
      </c>
      <c r="D50" s="138">
        <f>Hovedskema!E99</f>
        <v>0</v>
      </c>
      <c r="E50" s="138" t="e" vm="1">
        <f>Hovedskema!F99</f>
        <v>#VALUE!</v>
      </c>
      <c r="F50" s="279" t="e" vm="1">
        <f>Hovedskema!G99</f>
        <v>#VALUE!</v>
      </c>
    </row>
    <row r="51" spans="1:6">
      <c r="A51" s="267">
        <f t="shared" si="0"/>
        <v>32</v>
      </c>
      <c r="B51" s="54" t="str">
        <f>Hovedskema!C100</f>
        <v>Langfristet gæld</v>
      </c>
      <c r="C51" s="129">
        <f>Hovedskema!D100</f>
        <v>0</v>
      </c>
      <c r="D51" s="129">
        <f>Hovedskema!E100</f>
        <v>0</v>
      </c>
      <c r="E51" s="129">
        <f>Hovedskema!F100</f>
        <v>0</v>
      </c>
      <c r="F51" s="268">
        <f>Hovedskema!G100</f>
        <v>0</v>
      </c>
    </row>
    <row r="52" spans="1:6">
      <c r="A52" s="267">
        <f t="shared" si="0"/>
        <v>33</v>
      </c>
      <c r="B52" s="54" t="str">
        <f>Hovedskema!C101</f>
        <v>Kortfristet gæld</v>
      </c>
      <c r="C52" s="129">
        <f>Hovedskema!D101</f>
        <v>0</v>
      </c>
      <c r="D52" s="129">
        <f>Hovedskema!E101</f>
        <v>0</v>
      </c>
      <c r="E52" s="129">
        <f>Hovedskema!F101</f>
        <v>0</v>
      </c>
      <c r="F52" s="268">
        <f>Hovedskema!G101</f>
        <v>0</v>
      </c>
    </row>
    <row r="53" spans="1:6">
      <c r="A53" s="280" t="s">
        <v>213</v>
      </c>
      <c r="B53" s="54" t="str">
        <f>Hovedskema!C102</f>
        <v>Kassekredit   (del af kortfristet gæld)</v>
      </c>
      <c r="C53" s="129">
        <f>Hovedskema!D102</f>
        <v>0</v>
      </c>
      <c r="D53" s="129">
        <f>Hovedskema!E102</f>
        <v>0</v>
      </c>
      <c r="E53" s="129" t="e" vm="1">
        <f>Hovedskema!F102</f>
        <v>#VALUE!</v>
      </c>
      <c r="F53" s="268" t="e" vm="1">
        <f>Hovedskema!G102</f>
        <v>#VALUE!</v>
      </c>
    </row>
    <row r="54" spans="1:6">
      <c r="A54" s="267">
        <f>A52+1</f>
        <v>34</v>
      </c>
      <c r="B54" s="54" t="str">
        <f>Hovedskema!C104</f>
        <v>Forud modtagne indtægter (del af kortfr. gæld)</v>
      </c>
      <c r="C54" s="129">
        <f>Hovedskema!D104</f>
        <v>0</v>
      </c>
      <c r="D54" s="129">
        <f>Hovedskema!E104</f>
        <v>0</v>
      </c>
      <c r="E54" s="129">
        <f>Hovedskema!F104</f>
        <v>0</v>
      </c>
      <c r="F54" s="268">
        <f>Hovedskema!G104</f>
        <v>0</v>
      </c>
    </row>
    <row r="55" spans="1:6">
      <c r="A55" s="267">
        <f>A54+1</f>
        <v>35</v>
      </c>
      <c r="B55" s="54" t="str">
        <f>Hovedskema!C105</f>
        <v>Gæld i alt</v>
      </c>
      <c r="C55" s="129">
        <f>Hovedskema!D105</f>
        <v>0</v>
      </c>
      <c r="D55" s="129">
        <f>Hovedskema!E105</f>
        <v>0</v>
      </c>
      <c r="E55" s="129" t="e" vm="1">
        <f>Hovedskema!F105</f>
        <v>#VALUE!</v>
      </c>
      <c r="F55" s="268" t="e" vm="1">
        <f>Hovedskema!G105</f>
        <v>#VALUE!</v>
      </c>
    </row>
    <row r="56" spans="1:6">
      <c r="A56" s="267">
        <f t="shared" si="0"/>
        <v>36</v>
      </c>
      <c r="B56" s="151" t="str">
        <f>Hovedskema!C106</f>
        <v>PASSIVER I ALT:</v>
      </c>
      <c r="C56" s="138">
        <f>Hovedskema!D106</f>
        <v>0</v>
      </c>
      <c r="D56" s="138">
        <f>Hovedskema!E106</f>
        <v>0</v>
      </c>
      <c r="E56" s="138" t="e" vm="1">
        <f>Hovedskema!F106</f>
        <v>#VALUE!</v>
      </c>
      <c r="F56" s="279" t="e" vm="1">
        <f>Hovedskema!G106</f>
        <v>#VALUE!</v>
      </c>
    </row>
    <row r="57" spans="1:6">
      <c r="A57" s="267"/>
      <c r="B57" s="151" t="str">
        <f>Hovedskema!C107</f>
        <v>LIKVIDITET:</v>
      </c>
      <c r="C57" s="138"/>
      <c r="D57" s="138"/>
      <c r="E57" s="138"/>
      <c r="F57" s="279"/>
    </row>
    <row r="58" spans="1:6">
      <c r="A58" s="281"/>
      <c r="F58" s="282"/>
    </row>
    <row r="59" spans="1:6">
      <c r="A59" s="281"/>
      <c r="F59" s="282"/>
    </row>
    <row r="60" spans="1:6">
      <c r="A60" s="281"/>
      <c r="F60" s="282"/>
    </row>
    <row r="61" spans="1:6" ht="16">
      <c r="A61" s="283" t="str">
        <f>"Budgetopstilling for børnehaven  "&amp;budgetår&amp;" :"</f>
        <v>Budgetopstilling for børnehaven  2024 :</v>
      </c>
      <c r="B61" s="284"/>
      <c r="C61" s="284"/>
      <c r="D61" s="284"/>
      <c r="E61" s="284"/>
      <c r="F61" s="282"/>
    </row>
    <row r="62" spans="1:6" ht="14" thickBot="1">
      <c r="A62" s="281"/>
      <c r="F62" s="282"/>
    </row>
    <row r="63" spans="1:6">
      <c r="A63" s="285" t="s">
        <v>46</v>
      </c>
      <c r="B63" s="286"/>
      <c r="C63" s="287"/>
      <c r="D63" s="288" t="s">
        <v>47</v>
      </c>
      <c r="E63" s="288" t="str">
        <f>"i alt "&amp;budgetår</f>
        <v>i alt 2024</v>
      </c>
      <c r="F63" s="289" t="str">
        <f>"i alt "&amp;budgetår+1</f>
        <v>i alt 2025</v>
      </c>
    </row>
    <row r="64" spans="1:6">
      <c r="A64" s="280"/>
      <c r="B64" s="54" t="s">
        <v>45</v>
      </c>
      <c r="C64" s="54"/>
      <c r="D64" s="128" t="e">
        <f>SUM(Daginstitution!#REF!)</f>
        <v>#REF!</v>
      </c>
      <c r="E64" s="128" t="e">
        <f>D64*((Daginstitution!#REF!*7/12)+(Daginstitution!#REF!*5/12))</f>
        <v>#REF!</v>
      </c>
      <c r="F64" s="290" t="e">
        <f>D64*((Daginstitution!#REF!*7/12)+(Daginstitution!#REF!*5/12))</f>
        <v>#REF!</v>
      </c>
    </row>
    <row r="65" spans="1:10">
      <c r="A65" s="280"/>
      <c r="B65" s="54" t="s">
        <v>104</v>
      </c>
      <c r="C65" s="54"/>
      <c r="D65" s="128" t="e">
        <f>Daginstitution!#REF!</f>
        <v>#REF!</v>
      </c>
      <c r="E65" s="128" t="e">
        <f>D65*((Daginstitution!#REF!*7/12)+(Daginstitution!#REF!*5/12))</f>
        <v>#REF!</v>
      </c>
      <c r="F65" s="290" t="e">
        <f>D65*((Daginstitution!#REF!*7/12)+(Daginstitution!#REF!*5/12))</f>
        <v>#REF!</v>
      </c>
    </row>
    <row r="66" spans="1:10">
      <c r="A66" s="280"/>
      <c r="B66" s="54" t="s">
        <v>111</v>
      </c>
      <c r="C66" s="54"/>
      <c r="D66" s="128" t="e">
        <f>Daginstitution!#REF!</f>
        <v>#REF!</v>
      </c>
      <c r="E66" s="128" t="e">
        <f>Daginstitution!#REF!</f>
        <v>#REF!</v>
      </c>
      <c r="F66" s="291"/>
    </row>
    <row r="67" spans="1:10">
      <c r="A67" s="280"/>
      <c r="B67" s="54" t="s">
        <v>18</v>
      </c>
      <c r="C67" s="54"/>
      <c r="D67" s="128"/>
      <c r="E67" s="128"/>
      <c r="F67" s="291"/>
    </row>
    <row r="68" spans="1:10">
      <c r="A68" s="280"/>
      <c r="B68" s="54" t="s">
        <v>5</v>
      </c>
      <c r="C68" s="54"/>
      <c r="D68" s="128" t="e">
        <f>Daginstitution!#REF!</f>
        <v>#REF!</v>
      </c>
      <c r="E68" s="128" t="e">
        <f>Daginstitution!#REF!</f>
        <v>#REF!</v>
      </c>
      <c r="F68" s="290" t="e">
        <f>E68*1.02</f>
        <v>#REF!</v>
      </c>
    </row>
    <row r="69" spans="1:10" ht="16">
      <c r="A69" s="292" t="str">
        <f>"Indtægter i alt "&amp;budgetår&amp;":"</f>
        <v>Indtægter i alt 2024:</v>
      </c>
      <c r="B69" s="134"/>
      <c r="C69" s="134"/>
      <c r="D69" s="135"/>
      <c r="E69" s="136"/>
      <c r="F69" s="293" t="e">
        <f>SUM(E64:E68)</f>
        <v>#REF!</v>
      </c>
    </row>
    <row r="70" spans="1:10">
      <c r="A70" s="280"/>
      <c r="B70" s="54"/>
      <c r="C70" s="54"/>
      <c r="D70" s="127"/>
      <c r="E70" s="127"/>
      <c r="F70" s="294"/>
    </row>
    <row r="71" spans="1:10">
      <c r="A71" s="295" t="s">
        <v>132</v>
      </c>
      <c r="B71" s="54"/>
      <c r="C71" s="54"/>
      <c r="D71" s="127"/>
      <c r="E71" s="127"/>
      <c r="F71" s="294"/>
    </row>
    <row r="72" spans="1:10">
      <c r="A72" s="280"/>
      <c r="B72" s="54" t="s">
        <v>130</v>
      </c>
      <c r="C72" s="54"/>
      <c r="D72" s="129" t="e">
        <f>'Lon pæd., TAP mm'!AH367+'Lon pæd., TAP mm'!#REF!</f>
        <v>#REF!</v>
      </c>
      <c r="E72" s="127"/>
      <c r="F72" s="294"/>
    </row>
    <row r="73" spans="1:10">
      <c r="A73" s="280"/>
      <c r="B73" s="54" t="s">
        <v>131</v>
      </c>
      <c r="C73" s="54"/>
      <c r="D73" s="129">
        <f>'Lon pæd., TAP mm'!AI90</f>
        <v>0</v>
      </c>
      <c r="E73" s="127"/>
      <c r="F73" s="294"/>
    </row>
    <row r="74" spans="1:10">
      <c r="A74" s="280"/>
      <c r="B74" s="54" t="s">
        <v>91</v>
      </c>
      <c r="C74" s="54"/>
      <c r="D74" s="129">
        <f>'Lon pæd., TAP mm'!AI71</f>
        <v>0</v>
      </c>
      <c r="E74" s="127"/>
      <c r="F74" s="294"/>
    </row>
    <row r="75" spans="1:10">
      <c r="A75" s="280"/>
      <c r="B75" s="130"/>
      <c r="C75" s="54"/>
      <c r="D75" s="129"/>
      <c r="E75" s="127"/>
      <c r="F75" s="294"/>
    </row>
    <row r="76" spans="1:10">
      <c r="A76" s="280"/>
      <c r="B76" s="152" t="s">
        <v>162</v>
      </c>
      <c r="C76" s="151"/>
      <c r="D76" s="138"/>
      <c r="E76" s="296" t="e">
        <f>SUM(D72:D75)</f>
        <v>#REF!</v>
      </c>
      <c r="F76" s="297"/>
    </row>
    <row r="77" spans="1:10">
      <c r="A77" s="280"/>
      <c r="B77" s="131" t="s">
        <v>281</v>
      </c>
      <c r="C77" s="54"/>
      <c r="D77" s="132"/>
      <c r="E77" s="133"/>
      <c r="F77" s="297"/>
    </row>
    <row r="78" spans="1:10">
      <c r="A78" s="280"/>
      <c r="B78" s="54" t="s">
        <v>61</v>
      </c>
      <c r="C78" s="54"/>
      <c r="D78" s="133">
        <f>Daginstitution!F91</f>
        <v>0</v>
      </c>
      <c r="E78" s="133"/>
      <c r="F78" s="297"/>
      <c r="J78" s="1"/>
    </row>
    <row r="79" spans="1:10">
      <c r="A79" s="280"/>
      <c r="B79" s="131"/>
      <c r="C79" s="54"/>
      <c r="D79" s="133"/>
      <c r="E79" s="133"/>
      <c r="F79" s="297"/>
      <c r="J79" s="1"/>
    </row>
    <row r="80" spans="1:10">
      <c r="A80" s="280"/>
      <c r="B80" s="131" t="s">
        <v>48</v>
      </c>
      <c r="C80" s="54"/>
      <c r="D80" s="133" t="e">
        <f>Daginstitution!#REF!</f>
        <v>#REF!</v>
      </c>
      <c r="E80" s="133"/>
      <c r="F80" s="297"/>
    </row>
    <row r="81" spans="1:6">
      <c r="A81" s="280"/>
      <c r="B81" s="131"/>
      <c r="C81" s="54"/>
      <c r="D81" s="133"/>
      <c r="E81" s="133"/>
      <c r="F81" s="297"/>
    </row>
    <row r="82" spans="1:6">
      <c r="A82" s="280"/>
      <c r="B82" s="54" t="s">
        <v>28</v>
      </c>
      <c r="C82" s="54"/>
      <c r="D82" s="133" t="e">
        <f>Daginstitution!#REF!</f>
        <v>#REF!</v>
      </c>
      <c r="E82" s="133"/>
      <c r="F82" s="297"/>
    </row>
    <row r="83" spans="1:6">
      <c r="A83" s="280"/>
      <c r="B83" s="54"/>
      <c r="C83" s="54"/>
      <c r="D83" s="133"/>
      <c r="E83" s="128"/>
      <c r="F83" s="297"/>
    </row>
    <row r="84" spans="1:6">
      <c r="A84" s="280"/>
      <c r="B84" s="54"/>
      <c r="C84" s="54"/>
      <c r="D84" s="133"/>
      <c r="E84" s="128"/>
      <c r="F84" s="297"/>
    </row>
    <row r="85" spans="1:6">
      <c r="A85" s="280"/>
      <c r="B85" s="54" t="s">
        <v>81</v>
      </c>
      <c r="C85" s="54"/>
      <c r="D85" s="133">
        <f>Daginstitution!F158</f>
        <v>0</v>
      </c>
      <c r="E85" s="133"/>
      <c r="F85" s="297"/>
    </row>
    <row r="86" spans="1:6">
      <c r="A86" s="280"/>
      <c r="B86" s="54"/>
      <c r="C86" s="54"/>
      <c r="D86" s="133"/>
      <c r="E86" s="128"/>
      <c r="F86" s="297"/>
    </row>
    <row r="87" spans="1:6">
      <c r="A87" s="280"/>
      <c r="B87" s="54" t="s">
        <v>284</v>
      </c>
      <c r="C87" s="54"/>
      <c r="D87" s="133">
        <f>Daginstitution!F170</f>
        <v>0</v>
      </c>
      <c r="E87" s="133"/>
      <c r="F87" s="297"/>
    </row>
    <row r="88" spans="1:6">
      <c r="A88" s="280"/>
      <c r="B88" s="131"/>
      <c r="C88" s="54"/>
      <c r="D88" s="133"/>
      <c r="E88" s="133"/>
      <c r="F88" s="297"/>
    </row>
    <row r="89" spans="1:6">
      <c r="A89" s="280"/>
      <c r="B89" s="54" t="s">
        <v>63</v>
      </c>
      <c r="C89" s="54"/>
      <c r="D89" s="133">
        <f>Daginstitution!F164</f>
        <v>0</v>
      </c>
      <c r="E89" s="133"/>
      <c r="F89" s="297"/>
    </row>
    <row r="90" spans="1:6">
      <c r="A90" s="280"/>
      <c r="B90" s="152" t="s">
        <v>229</v>
      </c>
      <c r="C90" s="151"/>
      <c r="D90" s="138"/>
      <c r="E90" s="296" t="e">
        <f>SUM(D78:D89)</f>
        <v>#REF!</v>
      </c>
      <c r="F90" s="297"/>
    </row>
    <row r="91" spans="1:6" ht="16">
      <c r="A91" s="292" t="s">
        <v>83</v>
      </c>
      <c r="B91" s="134"/>
      <c r="C91" s="134"/>
      <c r="D91" s="137"/>
      <c r="E91" s="136"/>
      <c r="F91" s="293" t="e">
        <f>SUM(E76:E90)</f>
        <v>#REF!</v>
      </c>
    </row>
    <row r="92" spans="1:6">
      <c r="A92" s="280"/>
      <c r="B92" s="54"/>
      <c r="C92" s="54"/>
      <c r="D92" s="127"/>
      <c r="E92" s="128"/>
      <c r="F92" s="297"/>
    </row>
    <row r="93" spans="1:6" ht="17" thickBot="1">
      <c r="A93" s="3262" t="s">
        <v>122</v>
      </c>
      <c r="B93" s="3263"/>
      <c r="C93" s="298"/>
      <c r="D93" s="299"/>
      <c r="E93" s="300"/>
      <c r="F93" s="301" t="e">
        <f>F69-F91</f>
        <v>#REF!</v>
      </c>
    </row>
    <row r="94" spans="1:6" ht="14" thickBot="1">
      <c r="A94" s="302"/>
      <c r="B94" s="303"/>
      <c r="C94" s="303"/>
      <c r="D94" s="303"/>
      <c r="E94" s="303"/>
      <c r="F94" s="304"/>
    </row>
  </sheetData>
  <sheetProtection selectLockedCells="1"/>
  <mergeCells count="2">
    <mergeCell ref="A93:B93"/>
    <mergeCell ref="A2:F2"/>
  </mergeCells>
  <phoneticPr fontId="55" type="noConversion"/>
  <printOptions horizontalCentered="1" verticalCentered="1"/>
  <pageMargins left="0.78740157480314965" right="0.6692913385826772" top="0.98425196850393704" bottom="0.82677165354330717" header="0.51181102362204722" footer="0.51181102362204722"/>
  <pageSetup paperSize="9" scale="74" fitToHeight="0" orientation="portrait"/>
  <headerFooter alignWithMargins="0">
    <oddHeader>&amp;C&amp;"Arial,Fed"&amp;12RESULTATOPGØRELSE</oddHeader>
    <oddFooter>&amp;L&amp;G&amp;R
&amp;D
&amp;A</oddFooter>
  </headerFooter>
  <rowBreaks count="1" manualBreakCount="1">
    <brk id="57" max="16383" man="1"/>
  </rowBreaks>
  <drawing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273"/>
  <sheetViews>
    <sheetView showFormulas="1" showGridLines="0" topLeftCell="A17" workbookViewId="0">
      <selection activeCell="G41" sqref="G41"/>
    </sheetView>
  </sheetViews>
  <sheetFormatPr baseColWidth="10" defaultColWidth="12.1640625" defaultRowHeight="16"/>
  <cols>
    <col min="1" max="6" width="12.1640625" style="309"/>
    <col min="7" max="7" width="14.1640625" style="309" customWidth="1"/>
    <col min="8" max="9" width="12.1640625" style="309"/>
    <col min="10" max="10" width="7.1640625" style="309" bestFit="1" customWidth="1"/>
    <col min="11" max="11" width="10.1640625" style="309" bestFit="1" customWidth="1"/>
    <col min="12" max="12" width="34" style="309" bestFit="1" customWidth="1"/>
    <col min="13" max="14" width="10.83203125" style="309" bestFit="1" customWidth="1"/>
    <col min="15" max="260" width="12.1640625" style="309"/>
    <col min="261" max="261" width="14.1640625" style="309" customWidth="1"/>
    <col min="262" max="516" width="12.1640625" style="309"/>
    <col min="517" max="517" width="14.1640625" style="309" customWidth="1"/>
    <col min="518" max="772" width="12.1640625" style="309"/>
    <col min="773" max="773" width="14.1640625" style="309" customWidth="1"/>
    <col min="774" max="1028" width="12.1640625" style="309"/>
    <col min="1029" max="1029" width="14.1640625" style="309" customWidth="1"/>
    <col min="1030" max="1284" width="12.1640625" style="309"/>
    <col min="1285" max="1285" width="14.1640625" style="309" customWidth="1"/>
    <col min="1286" max="1540" width="12.1640625" style="309"/>
    <col min="1541" max="1541" width="14.1640625" style="309" customWidth="1"/>
    <col min="1542" max="1796" width="12.1640625" style="309"/>
    <col min="1797" max="1797" width="14.1640625" style="309" customWidth="1"/>
    <col min="1798" max="2052" width="12.1640625" style="309"/>
    <col min="2053" max="2053" width="14.1640625" style="309" customWidth="1"/>
    <col min="2054" max="2308" width="12.1640625" style="309"/>
    <col min="2309" max="2309" width="14.1640625" style="309" customWidth="1"/>
    <col min="2310" max="2564" width="12.1640625" style="309"/>
    <col min="2565" max="2565" width="14.1640625" style="309" customWidth="1"/>
    <col min="2566" max="2820" width="12.1640625" style="309"/>
    <col min="2821" max="2821" width="14.1640625" style="309" customWidth="1"/>
    <col min="2822" max="3076" width="12.1640625" style="309"/>
    <col min="3077" max="3077" width="14.1640625" style="309" customWidth="1"/>
    <col min="3078" max="3332" width="12.1640625" style="309"/>
    <col min="3333" max="3333" width="14.1640625" style="309" customWidth="1"/>
    <col min="3334" max="3588" width="12.1640625" style="309"/>
    <col min="3589" max="3589" width="14.1640625" style="309" customWidth="1"/>
    <col min="3590" max="3844" width="12.1640625" style="309"/>
    <col min="3845" max="3845" width="14.1640625" style="309" customWidth="1"/>
    <col min="3846" max="4100" width="12.1640625" style="309"/>
    <col min="4101" max="4101" width="14.1640625" style="309" customWidth="1"/>
    <col min="4102" max="4356" width="12.1640625" style="309"/>
    <col min="4357" max="4357" width="14.1640625" style="309" customWidth="1"/>
    <col min="4358" max="4612" width="12.1640625" style="309"/>
    <col min="4613" max="4613" width="14.1640625" style="309" customWidth="1"/>
    <col min="4614" max="4868" width="12.1640625" style="309"/>
    <col min="4869" max="4869" width="14.1640625" style="309" customWidth="1"/>
    <col min="4870" max="5124" width="12.1640625" style="309"/>
    <col min="5125" max="5125" width="14.1640625" style="309" customWidth="1"/>
    <col min="5126" max="5380" width="12.1640625" style="309"/>
    <col min="5381" max="5381" width="14.1640625" style="309" customWidth="1"/>
    <col min="5382" max="5636" width="12.1640625" style="309"/>
    <col min="5637" max="5637" width="14.1640625" style="309" customWidth="1"/>
    <col min="5638" max="5892" width="12.1640625" style="309"/>
    <col min="5893" max="5893" width="14.1640625" style="309" customWidth="1"/>
    <col min="5894" max="6148" width="12.1640625" style="309"/>
    <col min="6149" max="6149" width="14.1640625" style="309" customWidth="1"/>
    <col min="6150" max="6404" width="12.1640625" style="309"/>
    <col min="6405" max="6405" width="14.1640625" style="309" customWidth="1"/>
    <col min="6406" max="6660" width="12.1640625" style="309"/>
    <col min="6661" max="6661" width="14.1640625" style="309" customWidth="1"/>
    <col min="6662" max="6916" width="12.1640625" style="309"/>
    <col min="6917" max="6917" width="14.1640625" style="309" customWidth="1"/>
    <col min="6918" max="7172" width="12.1640625" style="309"/>
    <col min="7173" max="7173" width="14.1640625" style="309" customWidth="1"/>
    <col min="7174" max="7428" width="12.1640625" style="309"/>
    <col min="7429" max="7429" width="14.1640625" style="309" customWidth="1"/>
    <col min="7430" max="7684" width="12.1640625" style="309"/>
    <col min="7685" max="7685" width="14.1640625" style="309" customWidth="1"/>
    <col min="7686" max="7940" width="12.1640625" style="309"/>
    <col min="7941" max="7941" width="14.1640625" style="309" customWidth="1"/>
    <col min="7942" max="8196" width="12.1640625" style="309"/>
    <col min="8197" max="8197" width="14.1640625" style="309" customWidth="1"/>
    <col min="8198" max="8452" width="12.1640625" style="309"/>
    <col min="8453" max="8453" width="14.1640625" style="309" customWidth="1"/>
    <col min="8454" max="8708" width="12.1640625" style="309"/>
    <col min="8709" max="8709" width="14.1640625" style="309" customWidth="1"/>
    <col min="8710" max="8964" width="12.1640625" style="309"/>
    <col min="8965" max="8965" width="14.1640625" style="309" customWidth="1"/>
    <col min="8966" max="9220" width="12.1640625" style="309"/>
    <col min="9221" max="9221" width="14.1640625" style="309" customWidth="1"/>
    <col min="9222" max="9476" width="12.1640625" style="309"/>
    <col min="9477" max="9477" width="14.1640625" style="309" customWidth="1"/>
    <col min="9478" max="9732" width="12.1640625" style="309"/>
    <col min="9733" max="9733" width="14.1640625" style="309" customWidth="1"/>
    <col min="9734" max="9988" width="12.1640625" style="309"/>
    <col min="9989" max="9989" width="14.1640625" style="309" customWidth="1"/>
    <col min="9990" max="10244" width="12.1640625" style="309"/>
    <col min="10245" max="10245" width="14.1640625" style="309" customWidth="1"/>
    <col min="10246" max="10500" width="12.1640625" style="309"/>
    <col min="10501" max="10501" width="14.1640625" style="309" customWidth="1"/>
    <col min="10502" max="10756" width="12.1640625" style="309"/>
    <col min="10757" max="10757" width="14.1640625" style="309" customWidth="1"/>
    <col min="10758" max="11012" width="12.1640625" style="309"/>
    <col min="11013" max="11013" width="14.1640625" style="309" customWidth="1"/>
    <col min="11014" max="11268" width="12.1640625" style="309"/>
    <col min="11269" max="11269" width="14.1640625" style="309" customWidth="1"/>
    <col min="11270" max="11524" width="12.1640625" style="309"/>
    <col min="11525" max="11525" width="14.1640625" style="309" customWidth="1"/>
    <col min="11526" max="11780" width="12.1640625" style="309"/>
    <col min="11781" max="11781" width="14.1640625" style="309" customWidth="1"/>
    <col min="11782" max="12036" width="12.1640625" style="309"/>
    <col min="12037" max="12037" width="14.1640625" style="309" customWidth="1"/>
    <col min="12038" max="12292" width="12.1640625" style="309"/>
    <col min="12293" max="12293" width="14.1640625" style="309" customWidth="1"/>
    <col min="12294" max="12548" width="12.1640625" style="309"/>
    <col min="12549" max="12549" width="14.1640625" style="309" customWidth="1"/>
    <col min="12550" max="12804" width="12.1640625" style="309"/>
    <col min="12805" max="12805" width="14.1640625" style="309" customWidth="1"/>
    <col min="12806" max="13060" width="12.1640625" style="309"/>
    <col min="13061" max="13061" width="14.1640625" style="309" customWidth="1"/>
    <col min="13062" max="13316" width="12.1640625" style="309"/>
    <col min="13317" max="13317" width="14.1640625" style="309" customWidth="1"/>
    <col min="13318" max="13572" width="12.1640625" style="309"/>
    <col min="13573" max="13573" width="14.1640625" style="309" customWidth="1"/>
    <col min="13574" max="13828" width="12.1640625" style="309"/>
    <col min="13829" max="13829" width="14.1640625" style="309" customWidth="1"/>
    <col min="13830" max="14084" width="12.1640625" style="309"/>
    <col min="14085" max="14085" width="14.1640625" style="309" customWidth="1"/>
    <col min="14086" max="14340" width="12.1640625" style="309"/>
    <col min="14341" max="14341" width="14.1640625" style="309" customWidth="1"/>
    <col min="14342" max="14596" width="12.1640625" style="309"/>
    <col min="14597" max="14597" width="14.1640625" style="309" customWidth="1"/>
    <col min="14598" max="14852" width="12.1640625" style="309"/>
    <col min="14853" max="14853" width="14.1640625" style="309" customWidth="1"/>
    <col min="14854" max="15108" width="12.1640625" style="309"/>
    <col min="15109" max="15109" width="14.1640625" style="309" customWidth="1"/>
    <col min="15110" max="15364" width="12.1640625" style="309"/>
    <col min="15365" max="15365" width="14.1640625" style="309" customWidth="1"/>
    <col min="15366" max="15620" width="12.1640625" style="309"/>
    <col min="15621" max="15621" width="14.1640625" style="309" customWidth="1"/>
    <col min="15622" max="15876" width="12.1640625" style="309"/>
    <col min="15877" max="15877" width="14.1640625" style="309" customWidth="1"/>
    <col min="15878" max="16132" width="12.1640625" style="309"/>
    <col min="16133" max="16133" width="14.1640625" style="309" customWidth="1"/>
    <col min="16134" max="16384" width="12.1640625" style="309"/>
  </cols>
  <sheetData>
    <row r="1" spans="1:14">
      <c r="A1" s="306" t="s">
        <v>359</v>
      </c>
      <c r="B1" s="307"/>
      <c r="C1" s="307"/>
      <c r="D1" s="307"/>
      <c r="E1" s="307"/>
      <c r="F1" s="307"/>
      <c r="G1" s="308"/>
      <c r="J1" s="355" t="s">
        <v>616</v>
      </c>
      <c r="K1" s="356" t="s">
        <v>695</v>
      </c>
      <c r="L1" s="355" t="s">
        <v>617</v>
      </c>
      <c r="M1" s="357" t="s">
        <v>618</v>
      </c>
      <c r="N1" s="357" t="s">
        <v>717</v>
      </c>
    </row>
    <row r="2" spans="1:14">
      <c r="A2" s="310"/>
      <c r="B2" s="311"/>
      <c r="C2" s="312"/>
      <c r="D2" s="313" t="s">
        <v>101</v>
      </c>
      <c r="E2" s="312"/>
      <c r="F2" s="314"/>
      <c r="G2" s="315"/>
      <c r="J2" s="358"/>
      <c r="K2" s="359"/>
      <c r="L2" s="358"/>
      <c r="M2" s="360" t="str">
        <f>""</f>
        <v/>
      </c>
      <c r="N2" s="360" t="str">
        <f>""</f>
        <v/>
      </c>
    </row>
    <row r="3" spans="1:14">
      <c r="A3" s="316" t="s">
        <v>65</v>
      </c>
      <c r="B3" s="317" t="s">
        <v>113</v>
      </c>
      <c r="C3" s="318" t="s">
        <v>66</v>
      </c>
      <c r="D3" s="318" t="s">
        <v>67</v>
      </c>
      <c r="E3" s="318" t="s">
        <v>68</v>
      </c>
      <c r="F3" s="318" t="s">
        <v>69</v>
      </c>
      <c r="G3" s="319" t="s">
        <v>360</v>
      </c>
      <c r="J3" s="358">
        <v>101077</v>
      </c>
      <c r="K3" s="359">
        <v>101</v>
      </c>
      <c r="L3" s="358" t="s">
        <v>370</v>
      </c>
      <c r="M3" s="360" t="s">
        <v>690</v>
      </c>
      <c r="N3" s="360">
        <v>1</v>
      </c>
    </row>
    <row r="4" spans="1:14">
      <c r="A4" s="320">
        <v>1</v>
      </c>
      <c r="B4" s="321">
        <v>184817</v>
      </c>
      <c r="C4" s="322">
        <v>188265</v>
      </c>
      <c r="D4" s="322">
        <v>190650</v>
      </c>
      <c r="E4" s="322">
        <v>194098</v>
      </c>
      <c r="F4" s="322">
        <v>196484</v>
      </c>
      <c r="G4" s="323">
        <v>171917.38</v>
      </c>
      <c r="J4" s="358">
        <v>101086</v>
      </c>
      <c r="K4" s="359">
        <v>101</v>
      </c>
      <c r="L4" s="358" t="s">
        <v>371</v>
      </c>
      <c r="M4" s="360" t="s">
        <v>690</v>
      </c>
      <c r="N4" s="360">
        <v>1</v>
      </c>
    </row>
    <row r="5" spans="1:14">
      <c r="A5" s="320">
        <v>2</v>
      </c>
      <c r="B5" s="321">
        <v>187655</v>
      </c>
      <c r="C5" s="322">
        <v>191187</v>
      </c>
      <c r="D5" s="322">
        <v>193632</v>
      </c>
      <c r="E5" s="322">
        <v>197161</v>
      </c>
      <c r="F5" s="322">
        <v>199607</v>
      </c>
      <c r="G5" s="323">
        <v>174577.34</v>
      </c>
      <c r="J5" s="358">
        <v>101129</v>
      </c>
      <c r="K5" s="359">
        <v>101</v>
      </c>
      <c r="L5" s="358" t="s">
        <v>372</v>
      </c>
      <c r="M5" s="360" t="s">
        <v>690</v>
      </c>
      <c r="N5" s="360">
        <v>1</v>
      </c>
    </row>
    <row r="6" spans="1:14">
      <c r="A6" s="320">
        <v>3</v>
      </c>
      <c r="B6" s="321">
        <v>190571</v>
      </c>
      <c r="C6" s="322">
        <v>194187</v>
      </c>
      <c r="D6" s="322">
        <v>196692</v>
      </c>
      <c r="E6" s="322">
        <v>200308</v>
      </c>
      <c r="F6" s="322">
        <v>202814</v>
      </c>
      <c r="G6" s="323">
        <v>177309.48</v>
      </c>
      <c r="J6" s="358">
        <v>101135</v>
      </c>
      <c r="K6" s="359">
        <v>101</v>
      </c>
      <c r="L6" s="358" t="s">
        <v>373</v>
      </c>
      <c r="M6" s="360" t="s">
        <v>690</v>
      </c>
      <c r="N6" s="360">
        <v>1</v>
      </c>
    </row>
    <row r="7" spans="1:14">
      <c r="A7" s="320">
        <v>4</v>
      </c>
      <c r="B7" s="321">
        <v>193567</v>
      </c>
      <c r="C7" s="322">
        <v>197274</v>
      </c>
      <c r="D7" s="322">
        <v>199840</v>
      </c>
      <c r="E7" s="322">
        <v>203545</v>
      </c>
      <c r="F7" s="322">
        <v>206110</v>
      </c>
      <c r="G7" s="323">
        <v>180117.41</v>
      </c>
      <c r="J7" s="358">
        <v>101149</v>
      </c>
      <c r="K7" s="359">
        <v>101</v>
      </c>
      <c r="L7" s="358" t="s">
        <v>374</v>
      </c>
      <c r="M7" s="360" t="s">
        <v>690</v>
      </c>
      <c r="N7" s="360">
        <v>1</v>
      </c>
    </row>
    <row r="8" spans="1:14">
      <c r="A8" s="320">
        <v>5</v>
      </c>
      <c r="B8" s="321">
        <v>196645</v>
      </c>
      <c r="C8" s="322">
        <v>200442</v>
      </c>
      <c r="D8" s="322">
        <v>203072</v>
      </c>
      <c r="E8" s="322">
        <v>206869</v>
      </c>
      <c r="F8" s="322">
        <v>209497</v>
      </c>
      <c r="G8" s="323">
        <v>183001.14</v>
      </c>
      <c r="J8" s="358">
        <v>101152</v>
      </c>
      <c r="K8" s="359">
        <v>101</v>
      </c>
      <c r="L8" s="358" t="s">
        <v>619</v>
      </c>
      <c r="M8" s="360" t="s">
        <v>690</v>
      </c>
      <c r="N8" s="360">
        <v>1</v>
      </c>
    </row>
    <row r="9" spans="1:14">
      <c r="A9" s="320">
        <v>6</v>
      </c>
      <c r="B9" s="321">
        <v>199810</v>
      </c>
      <c r="C9" s="322">
        <v>203700</v>
      </c>
      <c r="D9" s="322">
        <v>206395</v>
      </c>
      <c r="E9" s="322">
        <v>210285</v>
      </c>
      <c r="F9" s="322">
        <v>212978</v>
      </c>
      <c r="G9" s="323">
        <v>185966.06</v>
      </c>
      <c r="J9" s="358">
        <v>101162</v>
      </c>
      <c r="K9" s="359">
        <v>101</v>
      </c>
      <c r="L9" s="358" t="s">
        <v>375</v>
      </c>
      <c r="M9" s="360" t="s">
        <v>690</v>
      </c>
      <c r="N9" s="360">
        <v>1</v>
      </c>
    </row>
    <row r="10" spans="1:14">
      <c r="A10" s="320">
        <v>7</v>
      </c>
      <c r="B10" s="321">
        <v>203058</v>
      </c>
      <c r="C10" s="322">
        <v>207045</v>
      </c>
      <c r="D10" s="322">
        <v>209805</v>
      </c>
      <c r="E10" s="322">
        <v>213792</v>
      </c>
      <c r="F10" s="322">
        <v>216551</v>
      </c>
      <c r="G10" s="323">
        <v>189010.4</v>
      </c>
      <c r="J10" s="358">
        <v>101163</v>
      </c>
      <c r="K10" s="359">
        <v>101</v>
      </c>
      <c r="L10" s="358" t="s">
        <v>376</v>
      </c>
      <c r="M10" s="360" t="s">
        <v>690</v>
      </c>
      <c r="N10" s="360">
        <v>1</v>
      </c>
    </row>
    <row r="11" spans="1:14">
      <c r="A11" s="320">
        <v>8</v>
      </c>
      <c r="B11" s="321">
        <v>206396</v>
      </c>
      <c r="C11" s="322">
        <v>210482</v>
      </c>
      <c r="D11" s="322">
        <v>213311</v>
      </c>
      <c r="E11" s="322">
        <v>217397</v>
      </c>
      <c r="F11" s="322">
        <v>220226</v>
      </c>
      <c r="G11" s="323">
        <v>192139.54</v>
      </c>
      <c r="J11" s="358">
        <v>101166</v>
      </c>
      <c r="K11" s="359">
        <v>101</v>
      </c>
      <c r="L11" s="358" t="s">
        <v>377</v>
      </c>
      <c r="M11" s="360" t="s">
        <v>690</v>
      </c>
      <c r="N11" s="360">
        <v>1</v>
      </c>
    </row>
    <row r="12" spans="1:14">
      <c r="A12" s="320">
        <v>9</v>
      </c>
      <c r="B12" s="321">
        <v>209829</v>
      </c>
      <c r="C12" s="322">
        <v>214015</v>
      </c>
      <c r="D12" s="322">
        <v>216916</v>
      </c>
      <c r="E12" s="322">
        <v>221102</v>
      </c>
      <c r="F12" s="322">
        <v>224002</v>
      </c>
      <c r="G12" s="323">
        <v>195355.31</v>
      </c>
      <c r="J12" s="358">
        <v>101169</v>
      </c>
      <c r="K12" s="359">
        <v>101</v>
      </c>
      <c r="L12" s="358" t="s">
        <v>378</v>
      </c>
      <c r="M12" s="360" t="s">
        <v>690</v>
      </c>
      <c r="N12" s="360">
        <v>1</v>
      </c>
    </row>
    <row r="13" spans="1:14">
      <c r="A13" s="320">
        <v>10</v>
      </c>
      <c r="B13" s="321">
        <v>213353</v>
      </c>
      <c r="C13" s="322">
        <v>217646</v>
      </c>
      <c r="D13" s="322">
        <v>220617</v>
      </c>
      <c r="E13" s="322">
        <v>224909</v>
      </c>
      <c r="F13" s="322">
        <v>227882</v>
      </c>
      <c r="G13" s="323">
        <v>198659.5</v>
      </c>
      <c r="J13" s="358">
        <v>101172</v>
      </c>
      <c r="K13" s="359">
        <v>101</v>
      </c>
      <c r="L13" s="358" t="s">
        <v>379</v>
      </c>
      <c r="M13" s="360" t="s">
        <v>690</v>
      </c>
      <c r="N13" s="360">
        <v>1</v>
      </c>
    </row>
    <row r="14" spans="1:14">
      <c r="A14" s="320">
        <v>11</v>
      </c>
      <c r="B14" s="321">
        <v>216134</v>
      </c>
      <c r="C14" s="322">
        <v>220533</v>
      </c>
      <c r="D14" s="322">
        <v>223579</v>
      </c>
      <c r="E14" s="322">
        <v>227978</v>
      </c>
      <c r="F14" s="322">
        <v>231023</v>
      </c>
      <c r="G14" s="323">
        <v>202053.93</v>
      </c>
      <c r="J14" s="358">
        <v>101180</v>
      </c>
      <c r="K14" s="359">
        <v>101</v>
      </c>
      <c r="L14" s="358" t="s">
        <v>380</v>
      </c>
      <c r="M14" s="360" t="s">
        <v>690</v>
      </c>
      <c r="N14" s="360">
        <v>1</v>
      </c>
    </row>
    <row r="15" spans="1:14">
      <c r="A15" s="320">
        <v>12</v>
      </c>
      <c r="B15" s="321">
        <v>219855</v>
      </c>
      <c r="C15" s="322">
        <v>224365</v>
      </c>
      <c r="D15" s="322">
        <v>227489</v>
      </c>
      <c r="E15" s="322">
        <v>231997</v>
      </c>
      <c r="F15" s="322">
        <v>235119</v>
      </c>
      <c r="G15" s="323">
        <v>205542.18</v>
      </c>
      <c r="J15" s="358">
        <v>101181</v>
      </c>
      <c r="K15" s="359">
        <v>101</v>
      </c>
      <c r="L15" s="358" t="s">
        <v>620</v>
      </c>
      <c r="M15" s="360" t="s">
        <v>690</v>
      </c>
      <c r="N15" s="360">
        <v>1</v>
      </c>
    </row>
    <row r="16" spans="1:14">
      <c r="A16" s="320">
        <v>13</v>
      </c>
      <c r="B16" s="321">
        <v>223681</v>
      </c>
      <c r="C16" s="322">
        <v>228304</v>
      </c>
      <c r="D16" s="322">
        <v>231504</v>
      </c>
      <c r="E16" s="322">
        <v>236129</v>
      </c>
      <c r="F16" s="322">
        <v>239328</v>
      </c>
      <c r="G16" s="323">
        <v>209126.09</v>
      </c>
      <c r="J16" s="358">
        <v>101184</v>
      </c>
      <c r="K16" s="359">
        <v>101</v>
      </c>
      <c r="L16" s="358" t="s">
        <v>381</v>
      </c>
      <c r="M16" s="360" t="s">
        <v>690</v>
      </c>
      <c r="N16" s="360">
        <v>1</v>
      </c>
    </row>
    <row r="17" spans="1:14">
      <c r="A17" s="320">
        <v>14</v>
      </c>
      <c r="B17" s="321">
        <v>227611</v>
      </c>
      <c r="C17" s="322">
        <v>232351</v>
      </c>
      <c r="D17" s="322">
        <v>235632</v>
      </c>
      <c r="E17" s="322">
        <v>240371</v>
      </c>
      <c r="F17" s="322">
        <v>243652</v>
      </c>
      <c r="G17" s="323">
        <v>212809.24</v>
      </c>
      <c r="J17" s="358">
        <v>101185</v>
      </c>
      <c r="K17" s="359">
        <v>101</v>
      </c>
      <c r="L17" s="358" t="s">
        <v>382</v>
      </c>
      <c r="M17" s="360" t="s">
        <v>690</v>
      </c>
      <c r="N17" s="360">
        <v>1</v>
      </c>
    </row>
    <row r="18" spans="1:14">
      <c r="A18" s="320">
        <v>15</v>
      </c>
      <c r="B18" s="321">
        <v>231649</v>
      </c>
      <c r="C18" s="322">
        <v>236507</v>
      </c>
      <c r="D18" s="322">
        <v>239870</v>
      </c>
      <c r="E18" s="322">
        <v>244730</v>
      </c>
      <c r="F18" s="322">
        <v>248094</v>
      </c>
      <c r="G18" s="323">
        <v>216591.65</v>
      </c>
      <c r="J18" s="358">
        <v>101189</v>
      </c>
      <c r="K18" s="359">
        <v>101</v>
      </c>
      <c r="L18" s="358" t="s">
        <v>621</v>
      </c>
      <c r="M18" s="360" t="s">
        <v>690</v>
      </c>
      <c r="N18" s="360">
        <v>1</v>
      </c>
    </row>
    <row r="19" spans="1:14">
      <c r="A19" s="320">
        <v>16</v>
      </c>
      <c r="B19" s="321">
        <v>234743</v>
      </c>
      <c r="C19" s="322">
        <v>239725</v>
      </c>
      <c r="D19" s="322">
        <v>243175</v>
      </c>
      <c r="E19" s="322">
        <v>248156</v>
      </c>
      <c r="F19" s="322">
        <v>251606</v>
      </c>
      <c r="G19" s="323">
        <v>220480.52</v>
      </c>
      <c r="J19" s="358">
        <v>101516</v>
      </c>
      <c r="K19" s="359">
        <v>101</v>
      </c>
      <c r="L19" s="358" t="s">
        <v>383</v>
      </c>
      <c r="M19" s="360" t="s">
        <v>690</v>
      </c>
      <c r="N19" s="360">
        <v>1</v>
      </c>
    </row>
    <row r="20" spans="1:14">
      <c r="A20" s="320">
        <v>17</v>
      </c>
      <c r="B20" s="321">
        <v>239005</v>
      </c>
      <c r="C20" s="322">
        <v>244114</v>
      </c>
      <c r="D20" s="322">
        <v>247651</v>
      </c>
      <c r="E20" s="322">
        <v>252759</v>
      </c>
      <c r="F20" s="322">
        <v>256294</v>
      </c>
      <c r="G20" s="323">
        <v>224474.06</v>
      </c>
      <c r="J20" s="358">
        <v>101526</v>
      </c>
      <c r="K20" s="359">
        <v>101</v>
      </c>
      <c r="L20" s="358" t="s">
        <v>384</v>
      </c>
      <c r="M20" s="360" t="s">
        <v>690</v>
      </c>
      <c r="N20" s="360">
        <v>1</v>
      </c>
    </row>
    <row r="21" spans="1:14">
      <c r="A21" s="320">
        <v>18</v>
      </c>
      <c r="B21" s="321">
        <v>243387</v>
      </c>
      <c r="C21" s="322">
        <v>248626</v>
      </c>
      <c r="D21" s="322">
        <v>252252</v>
      </c>
      <c r="E21" s="322">
        <v>257490</v>
      </c>
      <c r="F21" s="322">
        <v>261115</v>
      </c>
      <c r="G21" s="323">
        <v>228579.5</v>
      </c>
      <c r="J21" s="358">
        <v>101533</v>
      </c>
      <c r="K21" s="359">
        <v>101</v>
      </c>
      <c r="L21" s="358" t="s">
        <v>622</v>
      </c>
      <c r="M21" s="360" t="s">
        <v>690</v>
      </c>
      <c r="N21" s="360">
        <v>1</v>
      </c>
    </row>
    <row r="22" spans="1:14">
      <c r="A22" s="320">
        <v>19</v>
      </c>
      <c r="B22" s="321">
        <v>246657</v>
      </c>
      <c r="C22" s="322">
        <v>252029</v>
      </c>
      <c r="D22" s="322">
        <v>255746</v>
      </c>
      <c r="E22" s="322">
        <v>261119</v>
      </c>
      <c r="F22" s="322">
        <v>264839</v>
      </c>
      <c r="G22" s="323">
        <v>232796.81</v>
      </c>
      <c r="J22" s="358">
        <v>101541</v>
      </c>
      <c r="K22" s="359">
        <v>101</v>
      </c>
      <c r="L22" s="358" t="s">
        <v>385</v>
      </c>
      <c r="M22" s="360" t="s">
        <v>690</v>
      </c>
      <c r="N22" s="360">
        <v>1</v>
      </c>
    </row>
    <row r="23" spans="1:14">
      <c r="A23" s="320">
        <v>20</v>
      </c>
      <c r="B23" s="321">
        <v>250053</v>
      </c>
      <c r="C23" s="322">
        <v>255560</v>
      </c>
      <c r="D23" s="322">
        <v>259374</v>
      </c>
      <c r="E23" s="322">
        <v>264882</v>
      </c>
      <c r="F23" s="322">
        <v>268694</v>
      </c>
      <c r="G23" s="323">
        <v>237129.61</v>
      </c>
      <c r="J23" s="358">
        <v>101564</v>
      </c>
      <c r="K23" s="359">
        <v>101</v>
      </c>
      <c r="L23" s="358" t="s">
        <v>386</v>
      </c>
      <c r="M23" s="360" t="s">
        <v>690</v>
      </c>
      <c r="N23" s="360">
        <v>1</v>
      </c>
    </row>
    <row r="24" spans="1:14">
      <c r="A24" s="320">
        <v>21</v>
      </c>
      <c r="B24" s="321">
        <v>254192</v>
      </c>
      <c r="C24" s="322">
        <v>259841</v>
      </c>
      <c r="D24" s="322">
        <v>263752</v>
      </c>
      <c r="E24" s="322">
        <v>269401</v>
      </c>
      <c r="F24" s="322">
        <v>273312</v>
      </c>
      <c r="G24" s="323">
        <v>241583.32</v>
      </c>
      <c r="J24" s="358">
        <v>101581</v>
      </c>
      <c r="K24" s="359">
        <v>101</v>
      </c>
      <c r="L24" s="358" t="s">
        <v>623</v>
      </c>
      <c r="M24" s="360" t="s">
        <v>690</v>
      </c>
      <c r="N24" s="360">
        <v>1</v>
      </c>
    </row>
    <row r="25" spans="1:14">
      <c r="A25" s="320">
        <v>22</v>
      </c>
      <c r="B25" s="321">
        <v>258027</v>
      </c>
      <c r="C25" s="322">
        <v>263676</v>
      </c>
      <c r="D25" s="322">
        <v>267587</v>
      </c>
      <c r="E25" s="322">
        <v>273236</v>
      </c>
      <c r="F25" s="322">
        <v>277147</v>
      </c>
      <c r="G25" s="323">
        <v>246033.33</v>
      </c>
      <c r="J25" s="358">
        <v>101584</v>
      </c>
      <c r="K25" s="359">
        <v>101</v>
      </c>
      <c r="L25" s="358" t="s">
        <v>387</v>
      </c>
      <c r="M25" s="360" t="s">
        <v>690</v>
      </c>
      <c r="N25" s="360">
        <v>1</v>
      </c>
    </row>
    <row r="26" spans="1:14">
      <c r="A26" s="320">
        <v>23</v>
      </c>
      <c r="B26" s="321">
        <v>262137</v>
      </c>
      <c r="C26" s="322">
        <v>267629</v>
      </c>
      <c r="D26" s="322">
        <v>271434</v>
      </c>
      <c r="E26" s="322">
        <v>276928</v>
      </c>
      <c r="F26" s="322">
        <v>280730</v>
      </c>
      <c r="G26" s="323">
        <v>250472.55</v>
      </c>
      <c r="J26" s="358">
        <v>101593</v>
      </c>
      <c r="K26" s="359">
        <v>101</v>
      </c>
      <c r="L26" s="358" t="s">
        <v>388</v>
      </c>
      <c r="M26" s="360" t="s">
        <v>690</v>
      </c>
      <c r="N26" s="360">
        <v>1</v>
      </c>
    </row>
    <row r="27" spans="1:14">
      <c r="A27" s="320">
        <v>24</v>
      </c>
      <c r="B27" s="321">
        <v>266372</v>
      </c>
      <c r="C27" s="322">
        <v>271710</v>
      </c>
      <c r="D27" s="322">
        <v>275406</v>
      </c>
      <c r="E27" s="322">
        <v>280745</v>
      </c>
      <c r="F27" s="322">
        <v>284441</v>
      </c>
      <c r="G27" s="323">
        <v>255037.97</v>
      </c>
      <c r="J27" s="358">
        <v>147031</v>
      </c>
      <c r="K27" s="359">
        <v>147</v>
      </c>
      <c r="L27" s="358" t="s">
        <v>389</v>
      </c>
      <c r="M27" s="360" t="s">
        <v>690</v>
      </c>
      <c r="N27" s="360">
        <v>1</v>
      </c>
    </row>
    <row r="28" spans="1:14">
      <c r="A28" s="320">
        <v>25</v>
      </c>
      <c r="B28" s="321">
        <v>270701</v>
      </c>
      <c r="C28" s="322">
        <v>275873</v>
      </c>
      <c r="D28" s="322">
        <v>279454</v>
      </c>
      <c r="E28" s="322">
        <v>284626</v>
      </c>
      <c r="F28" s="322">
        <v>288206</v>
      </c>
      <c r="G28" s="323">
        <v>259721.7</v>
      </c>
      <c r="J28" s="358">
        <v>151022</v>
      </c>
      <c r="K28" s="359">
        <v>151</v>
      </c>
      <c r="L28" s="358" t="s">
        <v>624</v>
      </c>
      <c r="M28" s="360" t="s">
        <v>690</v>
      </c>
      <c r="N28" s="360">
        <v>1</v>
      </c>
    </row>
    <row r="29" spans="1:14">
      <c r="A29" s="320">
        <v>26</v>
      </c>
      <c r="B29" s="321">
        <v>275131</v>
      </c>
      <c r="C29" s="322">
        <v>280123</v>
      </c>
      <c r="D29" s="322">
        <v>283580</v>
      </c>
      <c r="E29" s="322">
        <v>288573</v>
      </c>
      <c r="F29" s="322">
        <v>292029</v>
      </c>
      <c r="G29" s="323">
        <v>264528.59000000003</v>
      </c>
      <c r="J29" s="358">
        <v>157015</v>
      </c>
      <c r="K29" s="359">
        <v>157</v>
      </c>
      <c r="L29" s="358" t="s">
        <v>390</v>
      </c>
      <c r="M29" s="360" t="s">
        <v>690</v>
      </c>
      <c r="N29" s="360">
        <v>1</v>
      </c>
    </row>
    <row r="30" spans="1:14">
      <c r="A30" s="320">
        <v>27</v>
      </c>
      <c r="B30" s="321">
        <v>279656</v>
      </c>
      <c r="C30" s="322">
        <v>284456</v>
      </c>
      <c r="D30" s="322">
        <v>287782</v>
      </c>
      <c r="E30" s="322">
        <v>292583</v>
      </c>
      <c r="F30" s="322">
        <v>295908</v>
      </c>
      <c r="G30" s="323">
        <v>269459.90000000002</v>
      </c>
      <c r="J30" s="358">
        <v>157020</v>
      </c>
      <c r="K30" s="359">
        <v>157</v>
      </c>
      <c r="L30" s="358" t="s">
        <v>625</v>
      </c>
      <c r="M30" s="360" t="s">
        <v>690</v>
      </c>
      <c r="N30" s="360">
        <v>1</v>
      </c>
    </row>
    <row r="31" spans="1:14">
      <c r="A31" s="320">
        <v>28</v>
      </c>
      <c r="B31" s="321">
        <v>284283</v>
      </c>
      <c r="C31" s="322">
        <v>288881</v>
      </c>
      <c r="D31" s="322">
        <v>292064</v>
      </c>
      <c r="E31" s="322">
        <v>296661</v>
      </c>
      <c r="F31" s="322">
        <v>299845</v>
      </c>
      <c r="G31" s="323">
        <v>274522.23</v>
      </c>
      <c r="J31" s="358">
        <v>159040</v>
      </c>
      <c r="K31" s="359">
        <v>159</v>
      </c>
      <c r="L31" s="358" t="s">
        <v>626</v>
      </c>
      <c r="M31" s="360" t="s">
        <v>690</v>
      </c>
      <c r="N31" s="360">
        <v>1</v>
      </c>
    </row>
    <row r="32" spans="1:14">
      <c r="A32" s="320">
        <v>29</v>
      </c>
      <c r="B32" s="321">
        <v>289014</v>
      </c>
      <c r="C32" s="322">
        <v>293394</v>
      </c>
      <c r="D32" s="322">
        <v>296427</v>
      </c>
      <c r="E32" s="322">
        <v>300807</v>
      </c>
      <c r="F32" s="322">
        <v>303839</v>
      </c>
      <c r="G32" s="323">
        <v>279714.99</v>
      </c>
      <c r="J32" s="358">
        <v>181010</v>
      </c>
      <c r="K32" s="359">
        <v>230</v>
      </c>
      <c r="L32" s="358" t="s">
        <v>391</v>
      </c>
      <c r="M32" s="360">
        <v>6</v>
      </c>
      <c r="N32" s="360">
        <v>1</v>
      </c>
    </row>
    <row r="33" spans="1:14">
      <c r="A33" s="320">
        <v>30</v>
      </c>
      <c r="B33" s="321">
        <v>293853</v>
      </c>
      <c r="C33" s="322">
        <v>298001</v>
      </c>
      <c r="D33" s="322">
        <v>300872</v>
      </c>
      <c r="E33" s="322">
        <v>305018</v>
      </c>
      <c r="F33" s="322">
        <v>307890</v>
      </c>
      <c r="G33" s="323">
        <v>285044.74</v>
      </c>
      <c r="J33" s="358">
        <v>217020</v>
      </c>
      <c r="K33" s="359">
        <v>217</v>
      </c>
      <c r="L33" s="358" t="s">
        <v>627</v>
      </c>
      <c r="M33" s="360" t="s">
        <v>691</v>
      </c>
      <c r="N33" s="360">
        <v>1</v>
      </c>
    </row>
    <row r="34" spans="1:14">
      <c r="A34" s="320">
        <v>31</v>
      </c>
      <c r="B34" s="321">
        <v>298795</v>
      </c>
      <c r="C34" s="322">
        <v>302696</v>
      </c>
      <c r="D34" s="322">
        <v>305398</v>
      </c>
      <c r="E34" s="322">
        <v>309299</v>
      </c>
      <c r="F34" s="322">
        <v>312000</v>
      </c>
      <c r="G34" s="323">
        <v>290512.64000000001</v>
      </c>
      <c r="J34" s="358">
        <v>217029</v>
      </c>
      <c r="K34" s="359">
        <v>217</v>
      </c>
      <c r="L34" s="358" t="s">
        <v>392</v>
      </c>
      <c r="M34" s="360" t="s">
        <v>691</v>
      </c>
      <c r="N34" s="360">
        <v>1</v>
      </c>
    </row>
    <row r="35" spans="1:14">
      <c r="A35" s="320">
        <v>32</v>
      </c>
      <c r="B35" s="321">
        <v>303852</v>
      </c>
      <c r="C35" s="322">
        <v>307490</v>
      </c>
      <c r="D35" s="322">
        <v>310009</v>
      </c>
      <c r="E35" s="322">
        <v>313649</v>
      </c>
      <c r="F35" s="322">
        <v>316167</v>
      </c>
      <c r="G35" s="323">
        <v>296125.21000000002</v>
      </c>
      <c r="J35" s="358">
        <v>219022</v>
      </c>
      <c r="K35" s="359">
        <v>219</v>
      </c>
      <c r="L35" s="358" t="s">
        <v>628</v>
      </c>
      <c r="M35" s="360" t="s">
        <v>691</v>
      </c>
      <c r="N35" s="360">
        <v>1</v>
      </c>
    </row>
    <row r="36" spans="1:14">
      <c r="A36" s="320">
        <v>33</v>
      </c>
      <c r="B36" s="321">
        <v>309016</v>
      </c>
      <c r="C36" s="322">
        <v>312375</v>
      </c>
      <c r="D36" s="322">
        <v>314703</v>
      </c>
      <c r="E36" s="322">
        <v>318063</v>
      </c>
      <c r="F36" s="322">
        <v>320390</v>
      </c>
      <c r="G36" s="323">
        <v>301881.8</v>
      </c>
      <c r="H36" s="373">
        <f>G36/12</f>
        <v>25156.816666666666</v>
      </c>
      <c r="J36" s="358">
        <v>259020</v>
      </c>
      <c r="K36" s="359">
        <v>259</v>
      </c>
      <c r="L36" s="358" t="s">
        <v>393</v>
      </c>
      <c r="M36" s="360" t="s">
        <v>692</v>
      </c>
      <c r="N36" s="360">
        <v>2</v>
      </c>
    </row>
    <row r="37" spans="1:14">
      <c r="A37" s="320">
        <v>34</v>
      </c>
      <c r="B37" s="321">
        <v>314298</v>
      </c>
      <c r="C37" s="322">
        <v>317363</v>
      </c>
      <c r="D37" s="322">
        <v>319485</v>
      </c>
      <c r="E37" s="322">
        <v>322548</v>
      </c>
      <c r="F37" s="322">
        <v>324670</v>
      </c>
      <c r="G37" s="323">
        <v>307790.62</v>
      </c>
      <c r="J37" s="358">
        <v>261005</v>
      </c>
      <c r="K37" s="359">
        <v>350</v>
      </c>
      <c r="L37" s="358" t="s">
        <v>629</v>
      </c>
      <c r="M37" s="360">
        <v>4</v>
      </c>
      <c r="N37" s="360">
        <v>2</v>
      </c>
    </row>
    <row r="38" spans="1:14">
      <c r="A38" s="320">
        <v>35</v>
      </c>
      <c r="B38" s="321">
        <v>319697</v>
      </c>
      <c r="C38" s="322">
        <v>322450</v>
      </c>
      <c r="D38" s="322">
        <v>324354</v>
      </c>
      <c r="E38" s="322">
        <v>327107</v>
      </c>
      <c r="F38" s="322">
        <v>329011</v>
      </c>
      <c r="G38" s="323">
        <v>313854.56</v>
      </c>
      <c r="J38" s="358">
        <v>263003</v>
      </c>
      <c r="K38" s="359">
        <v>265</v>
      </c>
      <c r="L38" s="358" t="s">
        <v>394</v>
      </c>
      <c r="M38" s="360" t="s">
        <v>692</v>
      </c>
      <c r="N38" s="360">
        <v>2</v>
      </c>
    </row>
    <row r="39" spans="1:14">
      <c r="A39" s="320">
        <v>36</v>
      </c>
      <c r="B39" s="321">
        <v>325214</v>
      </c>
      <c r="C39" s="322">
        <v>327634</v>
      </c>
      <c r="D39" s="322">
        <v>329310</v>
      </c>
      <c r="E39" s="322">
        <v>331731</v>
      </c>
      <c r="F39" s="322">
        <v>333406</v>
      </c>
      <c r="G39" s="323">
        <v>320074.68</v>
      </c>
      <c r="J39" s="358">
        <v>265018</v>
      </c>
      <c r="K39" s="359">
        <v>265</v>
      </c>
      <c r="L39" s="358" t="s">
        <v>395</v>
      </c>
      <c r="M39" s="360" t="s">
        <v>692</v>
      </c>
      <c r="N39" s="360">
        <v>2</v>
      </c>
    </row>
    <row r="40" spans="1:14">
      <c r="A40" s="320">
        <v>37</v>
      </c>
      <c r="B40" s="321">
        <v>330853</v>
      </c>
      <c r="C40" s="322">
        <v>332923</v>
      </c>
      <c r="D40" s="322">
        <v>334355</v>
      </c>
      <c r="E40" s="322">
        <v>336425</v>
      </c>
      <c r="F40" s="322">
        <v>337859</v>
      </c>
      <c r="G40" s="323">
        <v>326457.34000000003</v>
      </c>
      <c r="J40" s="358">
        <v>265030</v>
      </c>
      <c r="K40" s="359">
        <v>265</v>
      </c>
      <c r="L40" s="358" t="s">
        <v>396</v>
      </c>
      <c r="M40" s="360" t="s">
        <v>692</v>
      </c>
      <c r="N40" s="360">
        <v>2</v>
      </c>
    </row>
    <row r="41" spans="1:14">
      <c r="A41" s="320">
        <v>38</v>
      </c>
      <c r="B41" s="321">
        <v>336808</v>
      </c>
      <c r="C41" s="322">
        <v>338540</v>
      </c>
      <c r="D41" s="322">
        <v>339739</v>
      </c>
      <c r="E41" s="322">
        <v>341471</v>
      </c>
      <c r="F41" s="322">
        <v>342672</v>
      </c>
      <c r="G41" s="323">
        <v>333128.88</v>
      </c>
      <c r="J41" s="358">
        <v>265036</v>
      </c>
      <c r="K41" s="359">
        <v>265</v>
      </c>
      <c r="L41" s="358" t="s">
        <v>630</v>
      </c>
      <c r="M41" s="360" t="s">
        <v>692</v>
      </c>
      <c r="N41" s="360">
        <v>2</v>
      </c>
    </row>
    <row r="42" spans="1:14">
      <c r="A42" s="320">
        <v>39</v>
      </c>
      <c r="B42" s="321">
        <v>342821</v>
      </c>
      <c r="C42" s="322">
        <v>344156</v>
      </c>
      <c r="D42" s="322">
        <v>345080</v>
      </c>
      <c r="E42" s="322">
        <v>346413</v>
      </c>
      <c r="F42" s="322">
        <v>347337</v>
      </c>
      <c r="G42" s="323">
        <v>339989.41</v>
      </c>
      <c r="J42" s="358">
        <v>265039</v>
      </c>
      <c r="K42" s="359">
        <v>265</v>
      </c>
      <c r="L42" s="358" t="s">
        <v>631</v>
      </c>
      <c r="M42" s="360" t="s">
        <v>692</v>
      </c>
      <c r="N42" s="360">
        <v>2</v>
      </c>
    </row>
    <row r="43" spans="1:14">
      <c r="A43" s="320">
        <v>40</v>
      </c>
      <c r="B43" s="321">
        <v>348966</v>
      </c>
      <c r="C43" s="322">
        <v>349878</v>
      </c>
      <c r="D43" s="322">
        <v>350510</v>
      </c>
      <c r="E43" s="322">
        <v>351422</v>
      </c>
      <c r="F43" s="322">
        <v>352054</v>
      </c>
      <c r="G43" s="323">
        <v>347027.46</v>
      </c>
      <c r="J43" s="358">
        <v>269006</v>
      </c>
      <c r="K43" s="359">
        <v>269</v>
      </c>
      <c r="L43" s="358" t="s">
        <v>397</v>
      </c>
      <c r="M43" s="360" t="s">
        <v>692</v>
      </c>
      <c r="N43" s="360">
        <v>2</v>
      </c>
    </row>
    <row r="44" spans="1:14">
      <c r="A44" s="320">
        <v>41</v>
      </c>
      <c r="B44" s="321">
        <v>355245</v>
      </c>
      <c r="C44" s="322">
        <v>355712</v>
      </c>
      <c r="D44" s="322">
        <v>356037</v>
      </c>
      <c r="E44" s="322">
        <v>356505</v>
      </c>
      <c r="F44" s="322">
        <v>356828</v>
      </c>
      <c r="G44" s="323">
        <v>354249.23</v>
      </c>
      <c r="J44" s="358">
        <v>280038</v>
      </c>
      <c r="K44" s="359">
        <v>320</v>
      </c>
      <c r="L44" s="358" t="s">
        <v>399</v>
      </c>
      <c r="M44" s="360">
        <v>2</v>
      </c>
      <c r="N44" s="360">
        <v>2</v>
      </c>
    </row>
    <row r="45" spans="1:14">
      <c r="A45" s="320">
        <v>42</v>
      </c>
      <c r="B45" s="321">
        <v>361660</v>
      </c>
      <c r="C45" s="322">
        <v>361660</v>
      </c>
      <c r="D45" s="322">
        <v>361660</v>
      </c>
      <c r="E45" s="322">
        <v>361660</v>
      </c>
      <c r="F45" s="322">
        <v>361660</v>
      </c>
      <c r="G45" s="323">
        <v>361659.2</v>
      </c>
      <c r="H45" s="373">
        <f>G45/12</f>
        <v>30138.266666666666</v>
      </c>
      <c r="J45" s="358">
        <v>280039</v>
      </c>
      <c r="K45" s="359">
        <v>217</v>
      </c>
      <c r="L45" s="358" t="s">
        <v>398</v>
      </c>
      <c r="M45" s="360" t="s">
        <v>691</v>
      </c>
      <c r="N45" s="360">
        <v>1</v>
      </c>
    </row>
    <row r="46" spans="1:14">
      <c r="A46" s="320">
        <v>43</v>
      </c>
      <c r="B46" s="321">
        <v>369689</v>
      </c>
      <c r="C46" s="322">
        <v>369689</v>
      </c>
      <c r="D46" s="322">
        <v>369689</v>
      </c>
      <c r="E46" s="322">
        <v>369689</v>
      </c>
      <c r="F46" s="322">
        <v>369689</v>
      </c>
      <c r="G46" s="323">
        <v>369688.53</v>
      </c>
      <c r="J46" s="358">
        <v>280040</v>
      </c>
      <c r="K46" s="359">
        <v>706</v>
      </c>
      <c r="L46" s="358" t="s">
        <v>400</v>
      </c>
      <c r="M46" s="360">
        <v>2</v>
      </c>
      <c r="N46" s="360">
        <v>5</v>
      </c>
    </row>
    <row r="47" spans="1:14">
      <c r="A47" s="320">
        <v>44</v>
      </c>
      <c r="B47" s="321">
        <v>377937</v>
      </c>
      <c r="C47" s="322">
        <v>377937</v>
      </c>
      <c r="D47" s="322">
        <v>377937</v>
      </c>
      <c r="E47" s="322">
        <v>377937</v>
      </c>
      <c r="F47" s="322">
        <v>377937</v>
      </c>
      <c r="G47" s="323">
        <v>377937.3</v>
      </c>
      <c r="J47" s="358">
        <v>280053</v>
      </c>
      <c r="K47" s="359">
        <v>706</v>
      </c>
      <c r="L47" s="358" t="s">
        <v>401</v>
      </c>
      <c r="M47" s="360">
        <v>2</v>
      </c>
      <c r="N47" s="360">
        <v>5</v>
      </c>
    </row>
    <row r="48" spans="1:14">
      <c r="A48" s="320">
        <v>45</v>
      </c>
      <c r="B48" s="321">
        <v>386414</v>
      </c>
      <c r="C48" s="322">
        <v>386414</v>
      </c>
      <c r="D48" s="322">
        <v>386414</v>
      </c>
      <c r="E48" s="322">
        <v>386414</v>
      </c>
      <c r="F48" s="322">
        <v>386414</v>
      </c>
      <c r="G48" s="323">
        <v>386414.29</v>
      </c>
      <c r="J48" s="358">
        <v>280055</v>
      </c>
      <c r="K48" s="359">
        <v>306</v>
      </c>
      <c r="L48" s="358" t="s">
        <v>402</v>
      </c>
      <c r="M48" s="360">
        <v>2</v>
      </c>
      <c r="N48" s="360">
        <v>2</v>
      </c>
    </row>
    <row r="49" spans="1:14">
      <c r="A49" s="320">
        <v>46</v>
      </c>
      <c r="B49" s="321">
        <v>395125</v>
      </c>
      <c r="C49" s="322">
        <v>395125</v>
      </c>
      <c r="D49" s="322">
        <v>395125</v>
      </c>
      <c r="E49" s="322">
        <v>395125</v>
      </c>
      <c r="F49" s="322">
        <v>395125</v>
      </c>
      <c r="G49" s="323">
        <v>395124.74</v>
      </c>
      <c r="J49" s="358">
        <v>280204</v>
      </c>
      <c r="K49" s="359">
        <v>846</v>
      </c>
      <c r="L49" s="358" t="s">
        <v>632</v>
      </c>
      <c r="M49" s="360">
        <v>2</v>
      </c>
      <c r="N49" s="360">
        <v>6</v>
      </c>
    </row>
    <row r="50" spans="1:14">
      <c r="A50" s="320">
        <v>47</v>
      </c>
      <c r="B50" s="321">
        <v>413269</v>
      </c>
      <c r="C50" s="322">
        <v>413269</v>
      </c>
      <c r="D50" s="322">
        <v>413269</v>
      </c>
      <c r="E50" s="322">
        <v>413269</v>
      </c>
      <c r="F50" s="322">
        <v>413269</v>
      </c>
      <c r="G50" s="323">
        <v>413268.87</v>
      </c>
      <c r="J50" s="358">
        <v>280207</v>
      </c>
      <c r="K50" s="359">
        <v>860</v>
      </c>
      <c r="L50" s="358" t="s">
        <v>403</v>
      </c>
      <c r="M50" s="360">
        <v>2</v>
      </c>
      <c r="N50" s="360">
        <v>6</v>
      </c>
    </row>
    <row r="51" spans="1:14">
      <c r="A51" s="320">
        <v>48</v>
      </c>
      <c r="B51" s="321">
        <v>441027</v>
      </c>
      <c r="C51" s="322">
        <v>441027</v>
      </c>
      <c r="D51" s="322">
        <v>441027</v>
      </c>
      <c r="E51" s="322">
        <v>441027</v>
      </c>
      <c r="F51" s="322">
        <v>441027</v>
      </c>
      <c r="G51" s="323">
        <v>441025.75</v>
      </c>
      <c r="H51" s="309">
        <f>G51/12</f>
        <v>36752.145833333336</v>
      </c>
      <c r="J51" s="358">
        <v>280208</v>
      </c>
      <c r="K51" s="359">
        <v>580</v>
      </c>
      <c r="L51" s="358" t="s">
        <v>404</v>
      </c>
      <c r="M51" s="360">
        <v>2</v>
      </c>
      <c r="N51" s="360">
        <v>4</v>
      </c>
    </row>
    <row r="52" spans="1:14">
      <c r="A52" s="320">
        <v>49</v>
      </c>
      <c r="B52" s="321">
        <v>471781</v>
      </c>
      <c r="C52" s="322">
        <v>471781</v>
      </c>
      <c r="D52" s="322">
        <v>471781</v>
      </c>
      <c r="E52" s="322">
        <v>471781</v>
      </c>
      <c r="F52" s="322">
        <v>471781</v>
      </c>
      <c r="G52" s="323">
        <v>471780.9</v>
      </c>
      <c r="J52" s="358">
        <v>280212</v>
      </c>
      <c r="K52" s="359">
        <v>860</v>
      </c>
      <c r="L52" s="358" t="s">
        <v>405</v>
      </c>
      <c r="M52" s="360">
        <v>2</v>
      </c>
      <c r="N52" s="360">
        <v>6</v>
      </c>
    </row>
    <row r="53" spans="1:14">
      <c r="A53" s="320">
        <v>50</v>
      </c>
      <c r="B53" s="321">
        <v>521094</v>
      </c>
      <c r="C53" s="322">
        <v>521094</v>
      </c>
      <c r="D53" s="322">
        <v>521094</v>
      </c>
      <c r="E53" s="322">
        <v>521094</v>
      </c>
      <c r="F53" s="322">
        <v>521094</v>
      </c>
      <c r="G53" s="323">
        <v>521094.47</v>
      </c>
      <c r="J53" s="358">
        <v>280214</v>
      </c>
      <c r="K53" s="359">
        <v>727</v>
      </c>
      <c r="L53" s="358" t="s">
        <v>406</v>
      </c>
      <c r="M53" s="360" t="s">
        <v>693</v>
      </c>
      <c r="N53" s="360">
        <v>5</v>
      </c>
    </row>
    <row r="54" spans="1:14">
      <c r="A54" s="789">
        <v>51</v>
      </c>
      <c r="B54" s="790">
        <v>592911</v>
      </c>
      <c r="C54" s="791">
        <v>592911</v>
      </c>
      <c r="D54" s="791">
        <v>592911</v>
      </c>
      <c r="E54" s="791">
        <v>592911</v>
      </c>
      <c r="F54" s="791">
        <v>592911</v>
      </c>
      <c r="G54" s="792">
        <v>592911.94999999995</v>
      </c>
      <c r="J54" s="358">
        <v>280215</v>
      </c>
      <c r="K54" s="359">
        <v>787</v>
      </c>
      <c r="L54" s="358" t="s">
        <v>407</v>
      </c>
      <c r="M54" s="360" t="s">
        <v>693</v>
      </c>
      <c r="N54" s="360">
        <v>6</v>
      </c>
    </row>
    <row r="55" spans="1:14">
      <c r="A55" s="789">
        <v>52</v>
      </c>
      <c r="B55" s="790">
        <v>650993</v>
      </c>
      <c r="C55" s="791">
        <v>650993</v>
      </c>
      <c r="D55" s="791">
        <v>650993</v>
      </c>
      <c r="E55" s="791">
        <v>650993</v>
      </c>
      <c r="F55" s="791">
        <v>650993</v>
      </c>
      <c r="G55" s="792">
        <v>650993.51</v>
      </c>
      <c r="J55" s="358">
        <v>280216</v>
      </c>
      <c r="K55" s="359">
        <v>461</v>
      </c>
      <c r="L55" s="358" t="s">
        <v>633</v>
      </c>
      <c r="M55" s="360" t="s">
        <v>694</v>
      </c>
      <c r="N55" s="360">
        <v>3</v>
      </c>
    </row>
    <row r="56" spans="1:14">
      <c r="A56" s="789">
        <v>53</v>
      </c>
      <c r="B56" s="790">
        <v>728408</v>
      </c>
      <c r="C56" s="791">
        <v>728408</v>
      </c>
      <c r="D56" s="791">
        <v>728408</v>
      </c>
      <c r="E56" s="791">
        <v>728408</v>
      </c>
      <c r="F56" s="791">
        <v>728408</v>
      </c>
      <c r="G56" s="792">
        <v>728409.39</v>
      </c>
      <c r="J56" s="358">
        <v>280218</v>
      </c>
      <c r="K56" s="359">
        <v>621</v>
      </c>
      <c r="L56" s="358" t="s">
        <v>408</v>
      </c>
      <c r="M56" s="360" t="s">
        <v>693</v>
      </c>
      <c r="N56" s="360">
        <v>4</v>
      </c>
    </row>
    <row r="57" spans="1:14">
      <c r="A57" s="789">
        <v>54</v>
      </c>
      <c r="B57" s="790">
        <v>821385</v>
      </c>
      <c r="C57" s="791">
        <v>821385</v>
      </c>
      <c r="D57" s="791">
        <v>821385</v>
      </c>
      <c r="E57" s="791">
        <v>821385</v>
      </c>
      <c r="F57" s="791">
        <v>821385</v>
      </c>
      <c r="G57" s="792">
        <v>821385.31</v>
      </c>
      <c r="J57" s="358">
        <v>280220</v>
      </c>
      <c r="K57" s="359">
        <v>787</v>
      </c>
      <c r="L57" s="358" t="s">
        <v>409</v>
      </c>
      <c r="M57" s="360" t="s">
        <v>693</v>
      </c>
      <c r="N57" s="360">
        <v>6</v>
      </c>
    </row>
    <row r="58" spans="1:14">
      <c r="A58" s="789">
        <v>55</v>
      </c>
      <c r="B58" s="790">
        <v>925652</v>
      </c>
      <c r="C58" s="791">
        <v>925652</v>
      </c>
      <c r="D58" s="791">
        <v>925652</v>
      </c>
      <c r="E58" s="791">
        <v>925652</v>
      </c>
      <c r="F58" s="791">
        <v>925652</v>
      </c>
      <c r="G58" s="792">
        <v>925652.26</v>
      </c>
      <c r="J58" s="358">
        <v>280221</v>
      </c>
      <c r="K58" s="359">
        <v>860</v>
      </c>
      <c r="L58" s="358" t="s">
        <v>410</v>
      </c>
      <c r="M58" s="360">
        <v>2</v>
      </c>
      <c r="N58" s="360">
        <v>6</v>
      </c>
    </row>
    <row r="59" spans="1:14">
      <c r="A59" s="325" t="s">
        <v>822</v>
      </c>
      <c r="B59" s="787">
        <v>273480</v>
      </c>
      <c r="C59" s="787">
        <v>273480</v>
      </c>
      <c r="D59" s="787">
        <v>273480</v>
      </c>
      <c r="E59" s="787">
        <v>273480</v>
      </c>
      <c r="F59" s="787">
        <v>273480</v>
      </c>
      <c r="G59" s="787">
        <v>273480</v>
      </c>
      <c r="J59" s="358">
        <v>280224</v>
      </c>
      <c r="K59" s="359">
        <v>727</v>
      </c>
      <c r="L59" s="358" t="s">
        <v>411</v>
      </c>
      <c r="M59" s="360" t="s">
        <v>693</v>
      </c>
      <c r="N59" s="360">
        <v>5</v>
      </c>
    </row>
    <row r="60" spans="1:14">
      <c r="A60" s="325" t="s">
        <v>823</v>
      </c>
      <c r="B60" s="787">
        <v>305210</v>
      </c>
      <c r="C60" s="787">
        <v>305210</v>
      </c>
      <c r="D60" s="787">
        <v>305210</v>
      </c>
      <c r="E60" s="787">
        <v>305210</v>
      </c>
      <c r="F60" s="787">
        <v>305210</v>
      </c>
      <c r="G60" s="787">
        <v>305210</v>
      </c>
      <c r="J60" s="358">
        <v>280226</v>
      </c>
      <c r="K60" s="359">
        <v>450</v>
      </c>
      <c r="L60" s="358" t="s">
        <v>412</v>
      </c>
      <c r="M60" s="360">
        <v>3</v>
      </c>
      <c r="N60" s="360">
        <v>3</v>
      </c>
    </row>
    <row r="61" spans="1:14">
      <c r="A61" s="325" t="s">
        <v>824</v>
      </c>
      <c r="B61" s="787">
        <v>336820</v>
      </c>
      <c r="C61" s="787">
        <v>336820</v>
      </c>
      <c r="D61" s="787">
        <v>336820</v>
      </c>
      <c r="E61" s="787">
        <v>336820</v>
      </c>
      <c r="F61" s="787">
        <v>336820</v>
      </c>
      <c r="G61" s="787">
        <v>336820</v>
      </c>
      <c r="J61" s="358">
        <v>280227</v>
      </c>
      <c r="K61" s="359">
        <v>550</v>
      </c>
      <c r="L61" s="358" t="s">
        <v>413</v>
      </c>
      <c r="M61" s="360">
        <v>2</v>
      </c>
      <c r="N61" s="360">
        <v>6</v>
      </c>
    </row>
    <row r="62" spans="1:14">
      <c r="A62" s="331" t="s">
        <v>825</v>
      </c>
      <c r="B62" s="788">
        <v>354670</v>
      </c>
      <c r="C62" s="788">
        <v>354670</v>
      </c>
      <c r="D62" s="788">
        <v>354670</v>
      </c>
      <c r="E62" s="788">
        <v>354670</v>
      </c>
      <c r="F62" s="788">
        <v>354670</v>
      </c>
      <c r="G62" s="788">
        <v>354670</v>
      </c>
      <c r="J62" s="358">
        <v>280380</v>
      </c>
      <c r="K62" s="359">
        <v>329</v>
      </c>
      <c r="L62" s="358" t="s">
        <v>414</v>
      </c>
      <c r="M62" s="360" t="s">
        <v>693</v>
      </c>
      <c r="N62" s="360">
        <v>2</v>
      </c>
    </row>
    <row r="63" spans="1:14">
      <c r="A63" s="325" t="s">
        <v>356</v>
      </c>
      <c r="B63" s="326">
        <v>279695</v>
      </c>
      <c r="C63" s="327">
        <v>279695</v>
      </c>
      <c r="D63" s="327">
        <v>279695</v>
      </c>
      <c r="E63" s="327">
        <v>279695</v>
      </c>
      <c r="F63" s="327">
        <v>279695</v>
      </c>
      <c r="G63" s="328">
        <v>279695</v>
      </c>
      <c r="J63" s="358">
        <v>280381</v>
      </c>
      <c r="K63" s="359">
        <v>250</v>
      </c>
      <c r="L63" s="358" t="s">
        <v>415</v>
      </c>
      <c r="M63" s="360">
        <v>5</v>
      </c>
      <c r="N63" s="360">
        <v>2</v>
      </c>
    </row>
    <row r="64" spans="1:14">
      <c r="A64" s="325" t="s">
        <v>361</v>
      </c>
      <c r="B64" s="326">
        <v>298044</v>
      </c>
      <c r="C64" s="329">
        <v>298044</v>
      </c>
      <c r="D64" s="329">
        <v>298044</v>
      </c>
      <c r="E64" s="329">
        <v>298044</v>
      </c>
      <c r="F64" s="329">
        <v>298044</v>
      </c>
      <c r="G64" s="330">
        <v>298044</v>
      </c>
      <c r="J64" s="358">
        <v>280382</v>
      </c>
      <c r="K64" s="359">
        <v>550</v>
      </c>
      <c r="L64" s="358" t="s">
        <v>416</v>
      </c>
      <c r="M64" s="360">
        <v>2</v>
      </c>
      <c r="N64" s="360">
        <v>4</v>
      </c>
    </row>
    <row r="65" spans="1:14">
      <c r="A65" s="325" t="s">
        <v>362</v>
      </c>
      <c r="B65" s="326">
        <v>325699</v>
      </c>
      <c r="C65" s="329">
        <v>325699</v>
      </c>
      <c r="D65" s="329">
        <v>325699</v>
      </c>
      <c r="E65" s="329">
        <v>325699</v>
      </c>
      <c r="F65" s="329">
        <v>325699</v>
      </c>
      <c r="G65" s="330">
        <v>325699</v>
      </c>
      <c r="J65" s="358">
        <v>280384</v>
      </c>
      <c r="K65" s="359">
        <v>791</v>
      </c>
      <c r="L65" s="358" t="s">
        <v>634</v>
      </c>
      <c r="M65" s="360" t="s">
        <v>693</v>
      </c>
      <c r="N65" s="360">
        <v>5</v>
      </c>
    </row>
    <row r="66" spans="1:14">
      <c r="A66" s="325" t="s">
        <v>570</v>
      </c>
      <c r="B66" s="326">
        <f>355979/1.01304</f>
        <v>351396.78591171128</v>
      </c>
      <c r="C66" s="329">
        <f>+B66+2100</f>
        <v>353496.78591171128</v>
      </c>
      <c r="D66" s="329">
        <f>+B66+3900</f>
        <v>355296.78591171128</v>
      </c>
      <c r="E66" s="329">
        <f>+B66+6000</f>
        <v>357396.78591171128</v>
      </c>
      <c r="F66" s="329">
        <f>+B66+7500</f>
        <v>358896.78591171128</v>
      </c>
      <c r="G66" s="330">
        <v>355970</v>
      </c>
      <c r="J66" s="358">
        <v>280385</v>
      </c>
      <c r="K66" s="359">
        <v>573</v>
      </c>
      <c r="L66" s="358" t="s">
        <v>417</v>
      </c>
      <c r="M66" s="360" t="s">
        <v>693</v>
      </c>
      <c r="N66" s="360">
        <v>4</v>
      </c>
    </row>
    <row r="67" spans="1:14">
      <c r="A67" s="325" t="s">
        <v>363</v>
      </c>
      <c r="B67" s="326">
        <v>271288</v>
      </c>
      <c r="C67" s="326">
        <v>271288</v>
      </c>
      <c r="D67" s="326">
        <v>271288</v>
      </c>
      <c r="E67" s="326">
        <v>271288</v>
      </c>
      <c r="F67" s="326">
        <v>271288</v>
      </c>
      <c r="G67" s="326">
        <v>271288</v>
      </c>
      <c r="J67" s="358">
        <v>280386</v>
      </c>
      <c r="K67" s="359">
        <v>540</v>
      </c>
      <c r="L67" s="358" t="s">
        <v>418</v>
      </c>
      <c r="M67" s="360">
        <v>3</v>
      </c>
      <c r="N67" s="360">
        <v>4</v>
      </c>
    </row>
    <row r="68" spans="1:14">
      <c r="A68" s="325" t="s">
        <v>364</v>
      </c>
      <c r="B68" s="326">
        <v>284395</v>
      </c>
      <c r="C68" s="326">
        <v>284395</v>
      </c>
      <c r="D68" s="326">
        <v>284395</v>
      </c>
      <c r="E68" s="326">
        <v>284395</v>
      </c>
      <c r="F68" s="326">
        <v>284395</v>
      </c>
      <c r="G68" s="326">
        <v>284395</v>
      </c>
      <c r="J68" s="358">
        <v>280387</v>
      </c>
      <c r="K68" s="359">
        <v>550</v>
      </c>
      <c r="L68" s="358" t="s">
        <v>419</v>
      </c>
      <c r="M68" s="360">
        <v>2</v>
      </c>
      <c r="N68" s="360">
        <v>4</v>
      </c>
    </row>
    <row r="69" spans="1:14">
      <c r="A69" s="331" t="s">
        <v>365</v>
      </c>
      <c r="B69" s="332">
        <v>295011</v>
      </c>
      <c r="C69" s="332">
        <v>295011</v>
      </c>
      <c r="D69" s="332">
        <v>295011</v>
      </c>
      <c r="E69" s="332">
        <v>295011</v>
      </c>
      <c r="F69" s="332">
        <v>295011</v>
      </c>
      <c r="G69" s="332">
        <v>295011</v>
      </c>
      <c r="J69" s="358">
        <v>280388</v>
      </c>
      <c r="K69" s="359">
        <v>530</v>
      </c>
      <c r="L69" s="358" t="s">
        <v>635</v>
      </c>
      <c r="M69" s="360">
        <v>2</v>
      </c>
      <c r="N69" s="360">
        <v>5</v>
      </c>
    </row>
    <row r="70" spans="1:14">
      <c r="A70" s="331" t="s">
        <v>571</v>
      </c>
      <c r="B70" s="332">
        <v>313754</v>
      </c>
      <c r="C70" s="329">
        <f>+B70+2100</f>
        <v>315854</v>
      </c>
      <c r="D70" s="329">
        <f>+B70+3900</f>
        <v>317654</v>
      </c>
      <c r="E70" s="329">
        <f>+B70+6000</f>
        <v>319754</v>
      </c>
      <c r="F70" s="329">
        <f>+B70+7500</f>
        <v>321254</v>
      </c>
      <c r="G70" s="333">
        <v>313084</v>
      </c>
      <c r="J70" s="358">
        <v>280389</v>
      </c>
      <c r="K70" s="359">
        <v>661</v>
      </c>
      <c r="L70" s="358" t="s">
        <v>420</v>
      </c>
      <c r="M70" s="360" t="s">
        <v>693</v>
      </c>
      <c r="N70" s="360">
        <v>5</v>
      </c>
    </row>
    <row r="71" spans="1:14">
      <c r="A71" s="334"/>
      <c r="B71" s="334"/>
      <c r="C71" s="334"/>
      <c r="D71" s="334"/>
      <c r="E71" s="334"/>
      <c r="F71" s="334"/>
      <c r="G71" s="334"/>
      <c r="J71" s="358">
        <v>280390</v>
      </c>
      <c r="K71" s="359">
        <v>710</v>
      </c>
      <c r="L71" s="358" t="s">
        <v>421</v>
      </c>
      <c r="M71" s="360">
        <v>2</v>
      </c>
      <c r="N71" s="360">
        <v>5</v>
      </c>
    </row>
    <row r="72" spans="1:14" ht="18">
      <c r="A72" s="335" t="s">
        <v>366</v>
      </c>
      <c r="B72" s="334"/>
      <c r="C72" s="334" t="s">
        <v>367</v>
      </c>
      <c r="D72" s="334"/>
      <c r="E72" s="334"/>
      <c r="F72" s="334"/>
      <c r="G72" s="334"/>
      <c r="J72" s="358">
        <v>280391</v>
      </c>
      <c r="K72" s="359">
        <v>329</v>
      </c>
      <c r="L72" s="358" t="s">
        <v>422</v>
      </c>
      <c r="M72" s="360" t="s">
        <v>693</v>
      </c>
      <c r="N72" s="360">
        <v>2</v>
      </c>
    </row>
    <row r="73" spans="1:14">
      <c r="A73" s="310"/>
      <c r="B73" s="311"/>
      <c r="C73" s="312"/>
      <c r="D73" s="313" t="s">
        <v>101</v>
      </c>
      <c r="E73" s="312"/>
      <c r="F73" s="336"/>
      <c r="G73" s="337"/>
      <c r="J73" s="358">
        <v>280393</v>
      </c>
      <c r="K73" s="359">
        <v>330</v>
      </c>
      <c r="L73" s="358" t="s">
        <v>636</v>
      </c>
      <c r="M73" s="360">
        <v>3</v>
      </c>
      <c r="N73" s="360">
        <v>2</v>
      </c>
    </row>
    <row r="74" spans="1:14">
      <c r="A74" s="316" t="s">
        <v>368</v>
      </c>
      <c r="B74" s="317" t="s">
        <v>113</v>
      </c>
      <c r="C74" s="318" t="s">
        <v>66</v>
      </c>
      <c r="D74" s="318" t="s">
        <v>67</v>
      </c>
      <c r="E74" s="318" t="s">
        <v>68</v>
      </c>
      <c r="F74" s="338" t="s">
        <v>69</v>
      </c>
      <c r="G74" s="339"/>
      <c r="J74" s="358">
        <v>280394</v>
      </c>
      <c r="K74" s="359">
        <v>840</v>
      </c>
      <c r="L74" s="358" t="s">
        <v>423</v>
      </c>
      <c r="M74" s="360">
        <v>2</v>
      </c>
      <c r="N74" s="360">
        <v>6</v>
      </c>
    </row>
    <row r="75" spans="1:14">
      <c r="A75" s="320" t="s">
        <v>356</v>
      </c>
      <c r="B75" s="321">
        <v>0</v>
      </c>
      <c r="C75" s="340">
        <v>3900</v>
      </c>
      <c r="D75" s="340">
        <v>6900</v>
      </c>
      <c r="E75" s="340">
        <v>10800</v>
      </c>
      <c r="F75" s="341">
        <v>13800</v>
      </c>
      <c r="G75" s="334"/>
      <c r="J75" s="358">
        <v>280396</v>
      </c>
      <c r="K75" s="359">
        <v>265</v>
      </c>
      <c r="L75" s="358" t="s">
        <v>637</v>
      </c>
      <c r="M75" s="360" t="s">
        <v>692</v>
      </c>
      <c r="N75" s="360">
        <v>2</v>
      </c>
    </row>
    <row r="76" spans="1:14">
      <c r="A76" s="320" t="s">
        <v>361</v>
      </c>
      <c r="B76" s="321">
        <v>0</v>
      </c>
      <c r="C76" s="322">
        <v>3300</v>
      </c>
      <c r="D76" s="322">
        <v>5700</v>
      </c>
      <c r="E76" s="322">
        <v>9000</v>
      </c>
      <c r="F76" s="342">
        <v>11400</v>
      </c>
      <c r="G76" s="334"/>
      <c r="J76" s="358">
        <v>280398</v>
      </c>
      <c r="K76" s="359">
        <v>661</v>
      </c>
      <c r="L76" s="358" t="s">
        <v>424</v>
      </c>
      <c r="M76" s="360" t="s">
        <v>693</v>
      </c>
      <c r="N76" s="360">
        <v>5</v>
      </c>
    </row>
    <row r="77" spans="1:14">
      <c r="A77" s="320" t="s">
        <v>362</v>
      </c>
      <c r="B77" s="321">
        <v>0</v>
      </c>
      <c r="C77" s="322">
        <v>2100</v>
      </c>
      <c r="D77" s="322">
        <v>3900</v>
      </c>
      <c r="E77" s="322">
        <v>6000</v>
      </c>
      <c r="F77" s="342">
        <v>7500</v>
      </c>
      <c r="G77" s="334"/>
      <c r="J77" s="358">
        <v>280405</v>
      </c>
      <c r="K77" s="359">
        <v>730</v>
      </c>
      <c r="L77" s="358" t="s">
        <v>425</v>
      </c>
      <c r="M77" s="360">
        <v>2</v>
      </c>
      <c r="N77" s="360">
        <v>5</v>
      </c>
    </row>
    <row r="78" spans="1:14">
      <c r="A78" s="320" t="s">
        <v>570</v>
      </c>
      <c r="B78" s="321">
        <v>0</v>
      </c>
      <c r="C78" s="322">
        <v>2100</v>
      </c>
      <c r="D78" s="322">
        <v>3900</v>
      </c>
      <c r="E78" s="322">
        <v>6000</v>
      </c>
      <c r="F78" s="342">
        <v>7500</v>
      </c>
      <c r="G78" s="334"/>
      <c r="J78" s="358">
        <v>280460</v>
      </c>
      <c r="K78" s="359">
        <v>791</v>
      </c>
      <c r="L78" s="358" t="s">
        <v>638</v>
      </c>
      <c r="M78" s="360" t="s">
        <v>693</v>
      </c>
      <c r="N78" s="360">
        <v>5</v>
      </c>
    </row>
    <row r="79" spans="1:14">
      <c r="A79" s="320" t="s">
        <v>363</v>
      </c>
      <c r="B79" s="321">
        <v>0</v>
      </c>
      <c r="C79" s="322">
        <v>4500</v>
      </c>
      <c r="D79" s="322">
        <v>7500</v>
      </c>
      <c r="E79" s="322">
        <v>12000</v>
      </c>
      <c r="F79" s="342">
        <v>15000</v>
      </c>
      <c r="G79" s="334"/>
      <c r="J79" s="358">
        <v>280461</v>
      </c>
      <c r="K79" s="359">
        <v>336</v>
      </c>
      <c r="L79" s="358" t="s">
        <v>639</v>
      </c>
      <c r="M79" s="360">
        <v>2</v>
      </c>
      <c r="N79" s="360">
        <v>2</v>
      </c>
    </row>
    <row r="80" spans="1:14">
      <c r="A80" s="320" t="s">
        <v>364</v>
      </c>
      <c r="B80" s="321">
        <v>0</v>
      </c>
      <c r="C80" s="322">
        <v>3900</v>
      </c>
      <c r="D80" s="322">
        <v>6900</v>
      </c>
      <c r="E80" s="322">
        <v>10800</v>
      </c>
      <c r="F80" s="342">
        <v>13800</v>
      </c>
      <c r="G80" s="334"/>
      <c r="J80" s="358">
        <v>280463</v>
      </c>
      <c r="K80" s="359">
        <v>630</v>
      </c>
      <c r="L80" s="358" t="s">
        <v>640</v>
      </c>
      <c r="M80" s="360">
        <v>2</v>
      </c>
      <c r="N80" s="360">
        <v>4</v>
      </c>
    </row>
    <row r="81" spans="1:14">
      <c r="A81" s="324" t="s">
        <v>365</v>
      </c>
      <c r="B81" s="343">
        <v>0</v>
      </c>
      <c r="C81" s="344">
        <v>3600</v>
      </c>
      <c r="D81" s="344">
        <v>6300</v>
      </c>
      <c r="E81" s="344">
        <v>9900</v>
      </c>
      <c r="F81" s="345">
        <v>12600</v>
      </c>
      <c r="G81" s="334"/>
      <c r="J81" s="358">
        <v>280464</v>
      </c>
      <c r="K81" s="359">
        <v>336</v>
      </c>
      <c r="L81" s="358" t="s">
        <v>641</v>
      </c>
      <c r="M81" s="360">
        <v>2</v>
      </c>
      <c r="N81" s="360">
        <v>2</v>
      </c>
    </row>
    <row r="82" spans="1:14">
      <c r="A82" s="324" t="s">
        <v>571</v>
      </c>
      <c r="B82" s="343">
        <v>0</v>
      </c>
      <c r="C82" s="344">
        <v>3600</v>
      </c>
      <c r="D82" s="344">
        <v>6300</v>
      </c>
      <c r="E82" s="344">
        <v>9900</v>
      </c>
      <c r="F82" s="345">
        <v>12600</v>
      </c>
      <c r="G82" s="334"/>
      <c r="J82" s="358">
        <v>280465</v>
      </c>
      <c r="K82" s="359">
        <v>540</v>
      </c>
      <c r="L82" s="358" t="s">
        <v>642</v>
      </c>
      <c r="M82" s="360">
        <v>3</v>
      </c>
      <c r="N82" s="360">
        <v>4</v>
      </c>
    </row>
    <row r="83" spans="1:14">
      <c r="A83" s="334"/>
      <c r="B83" s="334"/>
      <c r="C83" s="334"/>
      <c r="D83" s="334"/>
      <c r="E83" s="334"/>
      <c r="F83" s="334"/>
      <c r="G83" s="334"/>
      <c r="J83" s="358">
        <v>280466</v>
      </c>
      <c r="K83" s="359">
        <v>510</v>
      </c>
      <c r="L83" s="358" t="s">
        <v>643</v>
      </c>
      <c r="M83" s="360">
        <v>2</v>
      </c>
      <c r="N83" s="360">
        <v>4</v>
      </c>
    </row>
    <row r="84" spans="1:14">
      <c r="A84" s="334"/>
      <c r="B84" s="334"/>
      <c r="C84" s="334"/>
      <c r="D84" s="334"/>
      <c r="E84" s="334"/>
      <c r="F84" s="334"/>
      <c r="G84" s="334"/>
      <c r="J84" s="358">
        <v>280474</v>
      </c>
      <c r="K84" s="359">
        <v>630</v>
      </c>
      <c r="L84" s="358" t="s">
        <v>644</v>
      </c>
      <c r="M84" s="360">
        <v>2</v>
      </c>
      <c r="N84" s="360">
        <v>4</v>
      </c>
    </row>
    <row r="85" spans="1:14">
      <c r="A85" s="334"/>
      <c r="B85" s="334">
        <f>B76/B64</f>
        <v>0</v>
      </c>
      <c r="C85" s="334">
        <f>C76/C64</f>
        <v>1.1072190683254822E-2</v>
      </c>
      <c r="D85" s="334">
        <f>D76/D64</f>
        <v>1.9124692998349235E-2</v>
      </c>
      <c r="E85" s="334">
        <f>E76/E64</f>
        <v>3.0196883681604059E-2</v>
      </c>
      <c r="F85" s="334">
        <f>F76/F64</f>
        <v>3.8249385996698471E-2</v>
      </c>
      <c r="G85" s="334"/>
      <c r="J85" s="358">
        <v>305011</v>
      </c>
      <c r="K85" s="359">
        <v>306</v>
      </c>
      <c r="L85" s="358" t="s">
        <v>645</v>
      </c>
      <c r="M85" s="360">
        <v>2</v>
      </c>
      <c r="N85" s="360">
        <v>2</v>
      </c>
    </row>
    <row r="86" spans="1:14">
      <c r="A86" s="334"/>
      <c r="B86" s="334">
        <v>0</v>
      </c>
      <c r="C86" s="334">
        <v>1.5</v>
      </c>
      <c r="D86" s="334">
        <v>2.5</v>
      </c>
      <c r="E86" s="334">
        <v>4</v>
      </c>
      <c r="F86" s="334">
        <v>5</v>
      </c>
      <c r="G86" s="334"/>
      <c r="J86" s="358">
        <v>305012</v>
      </c>
      <c r="K86" s="359">
        <v>306</v>
      </c>
      <c r="L86" s="358" t="s">
        <v>426</v>
      </c>
      <c r="M86" s="360">
        <v>2</v>
      </c>
      <c r="N86" s="360">
        <v>2</v>
      </c>
    </row>
    <row r="87" spans="1:14">
      <c r="A87" s="334"/>
      <c r="B87" s="334"/>
      <c r="C87" s="334"/>
      <c r="D87" s="334"/>
      <c r="E87" s="334"/>
      <c r="F87" s="334"/>
      <c r="G87" s="334"/>
      <c r="J87" s="358">
        <v>305015</v>
      </c>
      <c r="K87" s="359">
        <v>306</v>
      </c>
      <c r="L87" s="358" t="s">
        <v>427</v>
      </c>
      <c r="M87" s="360">
        <v>2</v>
      </c>
      <c r="N87" s="360">
        <v>2</v>
      </c>
    </row>
    <row r="88" spans="1:14">
      <c r="J88" s="358">
        <v>305019</v>
      </c>
      <c r="K88" s="359">
        <v>306</v>
      </c>
      <c r="L88" s="358" t="s">
        <v>428</v>
      </c>
      <c r="M88" s="360">
        <v>2</v>
      </c>
      <c r="N88" s="360">
        <v>2</v>
      </c>
    </row>
    <row r="89" spans="1:14">
      <c r="A89" s="374" t="s">
        <v>738</v>
      </c>
      <c r="B89" s="376" t="s">
        <v>764</v>
      </c>
      <c r="C89" s="376" t="s">
        <v>765</v>
      </c>
      <c r="J89" s="358">
        <v>309004</v>
      </c>
      <c r="K89" s="359">
        <v>326</v>
      </c>
      <c r="L89" s="358" t="s">
        <v>646</v>
      </c>
      <c r="M89" s="360">
        <v>2</v>
      </c>
      <c r="N89" s="360">
        <v>2</v>
      </c>
    </row>
    <row r="90" spans="1:14">
      <c r="A90" s="375" t="s">
        <v>311</v>
      </c>
      <c r="B90" s="309" t="s">
        <v>828</v>
      </c>
      <c r="C90" s="309" t="s">
        <v>311</v>
      </c>
      <c r="J90" s="358">
        <v>317006</v>
      </c>
      <c r="K90" s="359">
        <v>326</v>
      </c>
      <c r="L90" s="358" t="s">
        <v>647</v>
      </c>
      <c r="M90" s="360">
        <v>2</v>
      </c>
      <c r="N90" s="360">
        <v>2</v>
      </c>
    </row>
    <row r="91" spans="1:14">
      <c r="A91" s="375" t="s">
        <v>739</v>
      </c>
      <c r="B91" s="309" t="s">
        <v>1331</v>
      </c>
      <c r="C91" s="309" t="s">
        <v>735</v>
      </c>
      <c r="J91" s="358">
        <v>319010</v>
      </c>
      <c r="K91" s="359">
        <v>326</v>
      </c>
      <c r="L91" s="358" t="s">
        <v>429</v>
      </c>
      <c r="M91" s="360">
        <v>2</v>
      </c>
      <c r="N91" s="360">
        <v>2</v>
      </c>
    </row>
    <row r="92" spans="1:14">
      <c r="A92" s="375" t="s">
        <v>740</v>
      </c>
      <c r="C92" s="309" t="s">
        <v>766</v>
      </c>
      <c r="J92" s="358">
        <v>323010</v>
      </c>
      <c r="K92" s="359">
        <v>326</v>
      </c>
      <c r="L92" s="358" t="s">
        <v>430</v>
      </c>
      <c r="M92" s="360">
        <v>2</v>
      </c>
      <c r="N92" s="360">
        <v>2</v>
      </c>
    </row>
    <row r="93" spans="1:14">
      <c r="A93" s="375" t="s">
        <v>741</v>
      </c>
      <c r="C93" s="309" t="s">
        <v>767</v>
      </c>
      <c r="J93" s="358">
        <v>323013</v>
      </c>
      <c r="K93" s="359">
        <v>326</v>
      </c>
      <c r="L93" s="358" t="s">
        <v>431</v>
      </c>
      <c r="M93" s="360">
        <v>2</v>
      </c>
      <c r="N93" s="360">
        <v>2</v>
      </c>
    </row>
    <row r="94" spans="1:14">
      <c r="A94" s="375" t="s">
        <v>742</v>
      </c>
      <c r="C94" s="309" t="s">
        <v>768</v>
      </c>
      <c r="J94" s="358">
        <v>325007</v>
      </c>
      <c r="K94" s="359">
        <v>330</v>
      </c>
      <c r="L94" s="358" t="s">
        <v>432</v>
      </c>
      <c r="M94" s="360">
        <v>3</v>
      </c>
      <c r="N94" s="360">
        <v>2</v>
      </c>
    </row>
    <row r="95" spans="1:14">
      <c r="A95" s="375" t="s">
        <v>743</v>
      </c>
      <c r="C95" s="309" t="s">
        <v>769</v>
      </c>
      <c r="J95" s="358">
        <v>325008</v>
      </c>
      <c r="K95" s="359">
        <v>330</v>
      </c>
      <c r="L95" s="358" t="s">
        <v>433</v>
      </c>
      <c r="M95" s="360">
        <v>3</v>
      </c>
      <c r="N95" s="360">
        <v>2</v>
      </c>
    </row>
    <row r="96" spans="1:14">
      <c r="A96" s="375" t="s">
        <v>744</v>
      </c>
      <c r="C96" s="309" t="s">
        <v>770</v>
      </c>
      <c r="J96" s="358">
        <v>329018</v>
      </c>
      <c r="K96" s="359">
        <v>329</v>
      </c>
      <c r="L96" s="358" t="s">
        <v>434</v>
      </c>
      <c r="M96" s="360" t="s">
        <v>693</v>
      </c>
      <c r="N96" s="360">
        <v>2</v>
      </c>
    </row>
    <row r="97" spans="1:14">
      <c r="A97" s="375" t="s">
        <v>745</v>
      </c>
      <c r="C97" s="309" t="s">
        <v>771</v>
      </c>
      <c r="J97" s="358">
        <v>329022</v>
      </c>
      <c r="K97" s="359">
        <v>329</v>
      </c>
      <c r="L97" s="358" t="s">
        <v>435</v>
      </c>
      <c r="M97" s="360" t="s">
        <v>693</v>
      </c>
      <c r="N97" s="360">
        <v>2</v>
      </c>
    </row>
    <row r="98" spans="1:14">
      <c r="A98" s="375" t="s">
        <v>746</v>
      </c>
      <c r="C98" s="309" t="s">
        <v>763</v>
      </c>
      <c r="J98" s="358">
        <v>331008</v>
      </c>
      <c r="K98" s="359">
        <v>330</v>
      </c>
      <c r="L98" s="358" t="s">
        <v>436</v>
      </c>
      <c r="M98" s="360">
        <v>3</v>
      </c>
      <c r="N98" s="360">
        <v>2</v>
      </c>
    </row>
    <row r="99" spans="1:14">
      <c r="A99" s="375" t="s">
        <v>747</v>
      </c>
      <c r="C99" s="309" t="s">
        <v>772</v>
      </c>
      <c r="J99" s="358">
        <v>333012</v>
      </c>
      <c r="K99" s="359">
        <v>330</v>
      </c>
      <c r="L99" s="358" t="s">
        <v>437</v>
      </c>
      <c r="M99" s="360">
        <v>3</v>
      </c>
      <c r="N99" s="360">
        <v>2</v>
      </c>
    </row>
    <row r="100" spans="1:14">
      <c r="A100" s="375" t="s">
        <v>748</v>
      </c>
      <c r="C100" s="309" t="s">
        <v>773</v>
      </c>
      <c r="J100" s="358">
        <v>333023</v>
      </c>
      <c r="K100" s="359">
        <v>330</v>
      </c>
      <c r="L100" s="358" t="s">
        <v>438</v>
      </c>
      <c r="M100" s="360">
        <v>3</v>
      </c>
      <c r="N100" s="360">
        <v>2</v>
      </c>
    </row>
    <row r="101" spans="1:14">
      <c r="A101" s="375" t="s">
        <v>749</v>
      </c>
      <c r="C101" s="309" t="s">
        <v>774</v>
      </c>
      <c r="J101" s="358">
        <v>345009</v>
      </c>
      <c r="K101" s="359">
        <v>316</v>
      </c>
      <c r="L101" s="358" t="s">
        <v>648</v>
      </c>
      <c r="M101" s="360">
        <v>2</v>
      </c>
      <c r="N101" s="360">
        <v>2</v>
      </c>
    </row>
    <row r="102" spans="1:14">
      <c r="A102" s="375" t="s">
        <v>750</v>
      </c>
      <c r="C102" s="309" t="s">
        <v>775</v>
      </c>
      <c r="J102" s="358">
        <v>361005</v>
      </c>
      <c r="K102" s="359">
        <v>390</v>
      </c>
      <c r="L102" s="358" t="s">
        <v>439</v>
      </c>
      <c r="M102" s="360">
        <v>2</v>
      </c>
      <c r="N102" s="360">
        <v>2</v>
      </c>
    </row>
    <row r="103" spans="1:14">
      <c r="A103" s="375" t="s">
        <v>735</v>
      </c>
      <c r="C103" s="309" t="s">
        <v>776</v>
      </c>
      <c r="J103" s="358">
        <v>365012</v>
      </c>
      <c r="K103" s="359">
        <v>390</v>
      </c>
      <c r="L103" s="358" t="s">
        <v>440</v>
      </c>
      <c r="M103" s="360">
        <v>2</v>
      </c>
      <c r="N103" s="360">
        <v>2</v>
      </c>
    </row>
    <row r="104" spans="1:14">
      <c r="A104" s="375" t="s">
        <v>751</v>
      </c>
      <c r="C104" s="309" t="s">
        <v>777</v>
      </c>
      <c r="J104" s="358">
        <v>370001</v>
      </c>
      <c r="K104" s="359">
        <v>370</v>
      </c>
      <c r="L104" s="358" t="s">
        <v>441</v>
      </c>
      <c r="M104" s="360">
        <v>3</v>
      </c>
      <c r="N104" s="360">
        <v>2</v>
      </c>
    </row>
    <row r="105" spans="1:14">
      <c r="A105" s="375" t="s">
        <v>752</v>
      </c>
      <c r="C105" s="309" t="s">
        <v>820</v>
      </c>
      <c r="J105" s="358">
        <v>375005</v>
      </c>
      <c r="K105" s="359">
        <v>376</v>
      </c>
      <c r="L105" s="358" t="s">
        <v>442</v>
      </c>
      <c r="M105" s="360">
        <v>2</v>
      </c>
      <c r="N105" s="360">
        <v>2</v>
      </c>
    </row>
    <row r="106" spans="1:14">
      <c r="A106" s="375" t="s">
        <v>753</v>
      </c>
      <c r="J106" s="358">
        <v>385004</v>
      </c>
      <c r="K106" s="359">
        <v>320</v>
      </c>
      <c r="L106" s="358" t="s">
        <v>443</v>
      </c>
      <c r="M106" s="360">
        <v>2</v>
      </c>
      <c r="N106" s="360">
        <v>2</v>
      </c>
    </row>
    <row r="107" spans="1:14">
      <c r="A107" s="375" t="s">
        <v>754</v>
      </c>
      <c r="J107" s="358">
        <v>389009</v>
      </c>
      <c r="K107" s="359">
        <v>336</v>
      </c>
      <c r="L107" s="358" t="s">
        <v>444</v>
      </c>
      <c r="M107" s="360">
        <v>2</v>
      </c>
      <c r="N107" s="360">
        <v>2</v>
      </c>
    </row>
    <row r="108" spans="1:14">
      <c r="A108" s="375" t="s">
        <v>755</v>
      </c>
      <c r="J108" s="358">
        <v>397010</v>
      </c>
      <c r="K108" s="359">
        <v>390</v>
      </c>
      <c r="L108" s="358" t="s">
        <v>649</v>
      </c>
      <c r="M108" s="360">
        <v>2</v>
      </c>
      <c r="N108" s="360">
        <v>2</v>
      </c>
    </row>
    <row r="109" spans="1:14">
      <c r="A109" s="375" t="s">
        <v>756</v>
      </c>
      <c r="J109" s="358">
        <v>397014</v>
      </c>
      <c r="K109" s="359">
        <v>390</v>
      </c>
      <c r="L109" s="358" t="s">
        <v>445</v>
      </c>
      <c r="M109" s="360">
        <v>2</v>
      </c>
      <c r="N109" s="360">
        <v>2</v>
      </c>
    </row>
    <row r="110" spans="1:14">
      <c r="A110" s="375" t="s">
        <v>757</v>
      </c>
      <c r="J110" s="358">
        <v>400038</v>
      </c>
      <c r="K110" s="359">
        <v>400</v>
      </c>
      <c r="L110" s="358" t="s">
        <v>446</v>
      </c>
      <c r="M110" s="360" t="s">
        <v>693</v>
      </c>
      <c r="N110" s="360">
        <v>1</v>
      </c>
    </row>
    <row r="111" spans="1:14">
      <c r="A111" s="375" t="s">
        <v>758</v>
      </c>
      <c r="J111" s="358">
        <v>425005</v>
      </c>
      <c r="K111" s="359">
        <v>430</v>
      </c>
      <c r="L111" s="358" t="s">
        <v>447</v>
      </c>
      <c r="M111" s="360">
        <v>3</v>
      </c>
      <c r="N111" s="360">
        <v>3</v>
      </c>
    </row>
    <row r="112" spans="1:14">
      <c r="A112" s="375" t="s">
        <v>759</v>
      </c>
      <c r="J112" s="358">
        <v>427009</v>
      </c>
      <c r="K112" s="359">
        <v>479</v>
      </c>
      <c r="L112" s="358" t="s">
        <v>448</v>
      </c>
      <c r="M112" s="360" t="s">
        <v>693</v>
      </c>
      <c r="N112" s="360">
        <v>3</v>
      </c>
    </row>
    <row r="113" spans="1:14">
      <c r="A113" s="375" t="s">
        <v>760</v>
      </c>
      <c r="J113" s="358">
        <v>427010</v>
      </c>
      <c r="K113" s="359">
        <v>479</v>
      </c>
      <c r="L113" s="358" t="s">
        <v>449</v>
      </c>
      <c r="M113" s="360" t="s">
        <v>693</v>
      </c>
      <c r="N113" s="360">
        <v>3</v>
      </c>
    </row>
    <row r="114" spans="1:14">
      <c r="A114" s="375" t="s">
        <v>761</v>
      </c>
      <c r="J114" s="358">
        <v>431011</v>
      </c>
      <c r="K114" s="359">
        <v>430</v>
      </c>
      <c r="L114" s="358" t="s">
        <v>650</v>
      </c>
      <c r="M114" s="360">
        <v>3</v>
      </c>
      <c r="N114" s="360">
        <v>3</v>
      </c>
    </row>
    <row r="115" spans="1:14">
      <c r="A115" s="375" t="s">
        <v>762</v>
      </c>
      <c r="J115" s="358">
        <v>431014</v>
      </c>
      <c r="K115" s="359">
        <v>430</v>
      </c>
      <c r="L115" s="358" t="s">
        <v>450</v>
      </c>
      <c r="M115" s="360">
        <v>3</v>
      </c>
      <c r="N115" s="360">
        <v>3</v>
      </c>
    </row>
    <row r="116" spans="1:14">
      <c r="A116" s="375" t="s">
        <v>763</v>
      </c>
      <c r="J116" s="358">
        <v>433005</v>
      </c>
      <c r="K116" s="359">
        <v>420</v>
      </c>
      <c r="L116" s="358" t="s">
        <v>651</v>
      </c>
      <c r="M116" s="360">
        <v>2</v>
      </c>
      <c r="N116" s="360">
        <v>3</v>
      </c>
    </row>
    <row r="117" spans="1:14">
      <c r="J117" s="358">
        <v>433008</v>
      </c>
      <c r="K117" s="359">
        <v>420</v>
      </c>
      <c r="L117" s="358" t="s">
        <v>451</v>
      </c>
      <c r="M117" s="360">
        <v>2</v>
      </c>
      <c r="N117" s="360">
        <v>3</v>
      </c>
    </row>
    <row r="118" spans="1:14">
      <c r="J118" s="358">
        <v>435006</v>
      </c>
      <c r="K118" s="359">
        <v>479</v>
      </c>
      <c r="L118" s="358" t="s">
        <v>452</v>
      </c>
      <c r="M118" s="360" t="s">
        <v>693</v>
      </c>
      <c r="N118" s="360">
        <v>3</v>
      </c>
    </row>
    <row r="119" spans="1:14">
      <c r="J119" s="358">
        <v>437004</v>
      </c>
      <c r="K119" s="359">
        <v>420</v>
      </c>
      <c r="L119" s="358" t="s">
        <v>453</v>
      </c>
      <c r="M119" s="360">
        <v>2</v>
      </c>
      <c r="N119" s="360">
        <v>3</v>
      </c>
    </row>
    <row r="120" spans="1:14">
      <c r="J120" s="358">
        <v>439007</v>
      </c>
      <c r="K120" s="359">
        <v>440</v>
      </c>
      <c r="L120" s="358" t="s">
        <v>454</v>
      </c>
      <c r="M120" s="360">
        <v>3</v>
      </c>
      <c r="N120" s="360">
        <v>3</v>
      </c>
    </row>
    <row r="121" spans="1:14">
      <c r="J121" s="358">
        <v>445009</v>
      </c>
      <c r="K121" s="359">
        <v>410</v>
      </c>
      <c r="L121" s="358" t="s">
        <v>455</v>
      </c>
      <c r="M121" s="360">
        <v>2</v>
      </c>
      <c r="N121" s="360">
        <v>3</v>
      </c>
    </row>
    <row r="122" spans="1:14">
      <c r="J122" s="358">
        <v>445010</v>
      </c>
      <c r="K122" s="359">
        <v>410</v>
      </c>
      <c r="L122" s="358" t="s">
        <v>456</v>
      </c>
      <c r="M122" s="360">
        <v>2</v>
      </c>
      <c r="N122" s="360">
        <v>3</v>
      </c>
    </row>
    <row r="123" spans="1:14">
      <c r="J123" s="358">
        <v>461041</v>
      </c>
      <c r="K123" s="359">
        <v>461</v>
      </c>
      <c r="L123" s="358" t="s">
        <v>457</v>
      </c>
      <c r="M123" s="360" t="s">
        <v>694</v>
      </c>
      <c r="N123" s="360">
        <v>3</v>
      </c>
    </row>
    <row r="124" spans="1:14">
      <c r="J124" s="358">
        <v>461044</v>
      </c>
      <c r="K124" s="359">
        <v>461</v>
      </c>
      <c r="L124" s="358" t="s">
        <v>458</v>
      </c>
      <c r="M124" s="360" t="s">
        <v>694</v>
      </c>
      <c r="N124" s="360">
        <v>3</v>
      </c>
    </row>
    <row r="125" spans="1:14">
      <c r="J125" s="358">
        <v>461046</v>
      </c>
      <c r="K125" s="359">
        <v>461</v>
      </c>
      <c r="L125" s="358" t="s">
        <v>459</v>
      </c>
      <c r="M125" s="360" t="s">
        <v>694</v>
      </c>
      <c r="N125" s="360">
        <v>3</v>
      </c>
    </row>
    <row r="126" spans="1:14">
      <c r="J126" s="358">
        <v>461047</v>
      </c>
      <c r="K126" s="359">
        <v>461</v>
      </c>
      <c r="L126" s="358" t="s">
        <v>652</v>
      </c>
      <c r="M126" s="360" t="s">
        <v>694</v>
      </c>
      <c r="N126" s="360">
        <v>3</v>
      </c>
    </row>
    <row r="127" spans="1:14">
      <c r="J127" s="358">
        <v>461054</v>
      </c>
      <c r="K127" s="359">
        <v>461</v>
      </c>
      <c r="L127" s="358" t="s">
        <v>653</v>
      </c>
      <c r="M127" s="360" t="s">
        <v>694</v>
      </c>
      <c r="N127" s="360">
        <v>3</v>
      </c>
    </row>
    <row r="128" spans="1:14">
      <c r="J128" s="358">
        <v>461070</v>
      </c>
      <c r="K128" s="359">
        <v>461</v>
      </c>
      <c r="L128" s="358" t="s">
        <v>460</v>
      </c>
      <c r="M128" s="360" t="s">
        <v>694</v>
      </c>
      <c r="N128" s="360">
        <v>3</v>
      </c>
    </row>
    <row r="129" spans="10:14">
      <c r="J129" s="358">
        <v>461078</v>
      </c>
      <c r="K129" s="359">
        <v>461</v>
      </c>
      <c r="L129" s="358" t="s">
        <v>654</v>
      </c>
      <c r="M129" s="360" t="s">
        <v>694</v>
      </c>
      <c r="N129" s="360">
        <v>3</v>
      </c>
    </row>
    <row r="130" spans="10:14">
      <c r="J130" s="358">
        <v>461079</v>
      </c>
      <c r="K130" s="359">
        <v>461</v>
      </c>
      <c r="L130" s="358" t="s">
        <v>461</v>
      </c>
      <c r="M130" s="360" t="s">
        <v>694</v>
      </c>
      <c r="N130" s="360">
        <v>3</v>
      </c>
    </row>
    <row r="131" spans="10:14">
      <c r="J131" s="358">
        <v>461080</v>
      </c>
      <c r="K131" s="359">
        <v>461</v>
      </c>
      <c r="L131" s="358" t="s">
        <v>462</v>
      </c>
      <c r="M131" s="360" t="s">
        <v>694</v>
      </c>
      <c r="N131" s="360">
        <v>3</v>
      </c>
    </row>
    <row r="132" spans="10:14">
      <c r="J132" s="358">
        <v>461109</v>
      </c>
      <c r="K132" s="359">
        <v>461</v>
      </c>
      <c r="L132" s="358" t="s">
        <v>463</v>
      </c>
      <c r="M132" s="360" t="s">
        <v>694</v>
      </c>
      <c r="N132" s="360">
        <v>3</v>
      </c>
    </row>
    <row r="133" spans="10:14">
      <c r="J133" s="358">
        <v>473011</v>
      </c>
      <c r="K133" s="359">
        <v>430</v>
      </c>
      <c r="L133" s="358" t="s">
        <v>655</v>
      </c>
      <c r="M133" s="360">
        <v>3</v>
      </c>
      <c r="N133" s="360">
        <v>3</v>
      </c>
    </row>
    <row r="134" spans="10:14">
      <c r="J134" s="358">
        <v>473012</v>
      </c>
      <c r="K134" s="359">
        <v>430</v>
      </c>
      <c r="L134" s="358" t="s">
        <v>464</v>
      </c>
      <c r="M134" s="360">
        <v>3</v>
      </c>
      <c r="N134" s="360">
        <v>3</v>
      </c>
    </row>
    <row r="135" spans="10:14">
      <c r="J135" s="358">
        <v>473013</v>
      </c>
      <c r="K135" s="359">
        <v>430</v>
      </c>
      <c r="L135" s="358" t="s">
        <v>656</v>
      </c>
      <c r="M135" s="360">
        <v>3</v>
      </c>
      <c r="N135" s="360">
        <v>3</v>
      </c>
    </row>
    <row r="136" spans="10:14">
      <c r="J136" s="358">
        <v>473015</v>
      </c>
      <c r="K136" s="359">
        <v>430</v>
      </c>
      <c r="L136" s="358" t="s">
        <v>465</v>
      </c>
      <c r="M136" s="360">
        <v>3</v>
      </c>
      <c r="N136" s="360">
        <v>3</v>
      </c>
    </row>
    <row r="137" spans="10:14">
      <c r="J137" s="358">
        <v>473022</v>
      </c>
      <c r="K137" s="359">
        <v>430</v>
      </c>
      <c r="L137" s="358" t="s">
        <v>466</v>
      </c>
      <c r="M137" s="360">
        <v>3</v>
      </c>
      <c r="N137" s="360">
        <v>3</v>
      </c>
    </row>
    <row r="138" spans="10:14">
      <c r="J138" s="358">
        <v>475004</v>
      </c>
      <c r="K138" s="359">
        <v>482</v>
      </c>
      <c r="L138" s="358" t="s">
        <v>467</v>
      </c>
      <c r="M138" s="360">
        <v>2</v>
      </c>
      <c r="N138" s="360">
        <v>3</v>
      </c>
    </row>
    <row r="139" spans="10:14">
      <c r="J139" s="358">
        <v>477004</v>
      </c>
      <c r="K139" s="359">
        <v>430</v>
      </c>
      <c r="L139" s="358" t="s">
        <v>468</v>
      </c>
      <c r="M139" s="360">
        <v>3</v>
      </c>
      <c r="N139" s="360">
        <v>3</v>
      </c>
    </row>
    <row r="140" spans="10:14">
      <c r="J140" s="358">
        <v>477005</v>
      </c>
      <c r="K140" s="359">
        <v>430</v>
      </c>
      <c r="L140" s="358" t="s">
        <v>469</v>
      </c>
      <c r="M140" s="360">
        <v>3</v>
      </c>
      <c r="N140" s="360">
        <v>3</v>
      </c>
    </row>
    <row r="141" spans="10:14">
      <c r="J141" s="358">
        <v>477006</v>
      </c>
      <c r="K141" s="359">
        <v>430</v>
      </c>
      <c r="L141" s="358" t="s">
        <v>470</v>
      </c>
      <c r="M141" s="360">
        <v>3</v>
      </c>
      <c r="N141" s="360">
        <v>3</v>
      </c>
    </row>
    <row r="142" spans="10:14">
      <c r="J142" s="358">
        <v>479016</v>
      </c>
      <c r="K142" s="359">
        <v>479</v>
      </c>
      <c r="L142" s="358" t="s">
        <v>471</v>
      </c>
      <c r="M142" s="360" t="s">
        <v>693</v>
      </c>
      <c r="N142" s="360">
        <v>3</v>
      </c>
    </row>
    <row r="143" spans="10:14">
      <c r="J143" s="358">
        <v>482001</v>
      </c>
      <c r="K143" s="359">
        <v>482</v>
      </c>
      <c r="L143" s="358" t="s">
        <v>472</v>
      </c>
      <c r="M143" s="360">
        <v>2</v>
      </c>
      <c r="N143" s="360">
        <v>3</v>
      </c>
    </row>
    <row r="144" spans="10:14">
      <c r="J144" s="358">
        <v>492001</v>
      </c>
      <c r="K144" s="359">
        <v>492</v>
      </c>
      <c r="L144" s="358" t="s">
        <v>657</v>
      </c>
      <c r="M144" s="360">
        <v>2</v>
      </c>
      <c r="N144" s="360">
        <v>3</v>
      </c>
    </row>
    <row r="145" spans="10:14">
      <c r="J145" s="358">
        <v>495006</v>
      </c>
      <c r="K145" s="359">
        <v>450</v>
      </c>
      <c r="L145" s="358" t="s">
        <v>473</v>
      </c>
      <c r="M145" s="360">
        <v>3</v>
      </c>
      <c r="N145" s="360">
        <v>3</v>
      </c>
    </row>
    <row r="146" spans="10:14">
      <c r="J146" s="358">
        <v>495007</v>
      </c>
      <c r="K146" s="359">
        <v>450</v>
      </c>
      <c r="L146" s="358" t="s">
        <v>474</v>
      </c>
      <c r="M146" s="360">
        <v>3</v>
      </c>
      <c r="N146" s="360">
        <v>3</v>
      </c>
    </row>
    <row r="147" spans="10:14">
      <c r="J147" s="358">
        <v>497005</v>
      </c>
      <c r="K147" s="359">
        <v>430</v>
      </c>
      <c r="L147" s="358" t="s">
        <v>475</v>
      </c>
      <c r="M147" s="360">
        <v>3</v>
      </c>
      <c r="N147" s="360">
        <v>3</v>
      </c>
    </row>
    <row r="148" spans="10:14">
      <c r="J148" s="358">
        <v>497006</v>
      </c>
      <c r="K148" s="359">
        <v>430</v>
      </c>
      <c r="L148" s="358" t="s">
        <v>658</v>
      </c>
      <c r="M148" s="360">
        <v>3</v>
      </c>
      <c r="N148" s="360">
        <v>3</v>
      </c>
    </row>
    <row r="149" spans="10:14">
      <c r="J149" s="358">
        <v>497007</v>
      </c>
      <c r="K149" s="359">
        <v>430</v>
      </c>
      <c r="L149" s="358" t="s">
        <v>659</v>
      </c>
      <c r="M149" s="360">
        <v>3</v>
      </c>
      <c r="N149" s="360">
        <v>3</v>
      </c>
    </row>
    <row r="150" spans="10:14">
      <c r="J150" s="358">
        <v>499005</v>
      </c>
      <c r="K150" s="359">
        <v>420</v>
      </c>
      <c r="L150" s="358" t="s">
        <v>476</v>
      </c>
      <c r="M150" s="360">
        <v>2</v>
      </c>
      <c r="N150" s="360">
        <v>3</v>
      </c>
    </row>
    <row r="151" spans="10:14">
      <c r="J151" s="358">
        <v>501003</v>
      </c>
      <c r="K151" s="359">
        <v>540</v>
      </c>
      <c r="L151" s="358" t="s">
        <v>477</v>
      </c>
      <c r="M151" s="360">
        <v>3</v>
      </c>
      <c r="N151" s="360">
        <v>4</v>
      </c>
    </row>
    <row r="152" spans="10:14">
      <c r="J152" s="358">
        <v>509011</v>
      </c>
      <c r="K152" s="359">
        <v>510</v>
      </c>
      <c r="L152" s="358" t="s">
        <v>478</v>
      </c>
      <c r="M152" s="360">
        <v>2</v>
      </c>
      <c r="N152" s="360">
        <v>4</v>
      </c>
    </row>
    <row r="153" spans="10:14">
      <c r="J153" s="358">
        <v>510006</v>
      </c>
      <c r="K153" s="359">
        <v>510</v>
      </c>
      <c r="L153" s="358" t="s">
        <v>479</v>
      </c>
      <c r="M153" s="360">
        <v>2</v>
      </c>
      <c r="N153" s="360">
        <v>4</v>
      </c>
    </row>
    <row r="154" spans="10:14">
      <c r="J154" s="358">
        <v>511005</v>
      </c>
      <c r="K154" s="359">
        <v>510</v>
      </c>
      <c r="L154" s="358" t="s">
        <v>480</v>
      </c>
      <c r="M154" s="360">
        <v>2</v>
      </c>
      <c r="N154" s="360">
        <v>4</v>
      </c>
    </row>
    <row r="155" spans="10:14">
      <c r="J155" s="358">
        <v>513008</v>
      </c>
      <c r="K155" s="359">
        <v>540</v>
      </c>
      <c r="L155" s="358" t="s">
        <v>481</v>
      </c>
      <c r="M155" s="360">
        <v>3</v>
      </c>
      <c r="N155" s="360">
        <v>4</v>
      </c>
    </row>
    <row r="156" spans="10:14">
      <c r="J156" s="358">
        <v>519008</v>
      </c>
      <c r="K156" s="359">
        <v>580</v>
      </c>
      <c r="L156" s="358" t="s">
        <v>482</v>
      </c>
      <c r="M156" s="360">
        <v>2</v>
      </c>
      <c r="N156" s="360">
        <v>4</v>
      </c>
    </row>
    <row r="157" spans="10:14">
      <c r="J157" s="358">
        <v>521011</v>
      </c>
      <c r="K157" s="359">
        <v>550</v>
      </c>
      <c r="L157" s="358" t="s">
        <v>660</v>
      </c>
      <c r="M157" s="360">
        <v>2</v>
      </c>
      <c r="N157" s="360">
        <v>4</v>
      </c>
    </row>
    <row r="158" spans="10:14">
      <c r="J158" s="358">
        <v>523012</v>
      </c>
      <c r="K158" s="359">
        <v>540</v>
      </c>
      <c r="L158" s="358" t="s">
        <v>483</v>
      </c>
      <c r="M158" s="360">
        <v>3</v>
      </c>
      <c r="N158" s="360">
        <v>4</v>
      </c>
    </row>
    <row r="159" spans="10:14">
      <c r="J159" s="358">
        <v>523013</v>
      </c>
      <c r="K159" s="359">
        <v>540</v>
      </c>
      <c r="L159" s="358" t="s">
        <v>661</v>
      </c>
      <c r="M159" s="360">
        <v>3</v>
      </c>
      <c r="N159" s="360">
        <v>4</v>
      </c>
    </row>
    <row r="160" spans="10:14">
      <c r="J160" s="358">
        <v>527008</v>
      </c>
      <c r="K160" s="359">
        <v>575</v>
      </c>
      <c r="L160" s="358" t="s">
        <v>484</v>
      </c>
      <c r="M160" s="360" t="s">
        <v>693</v>
      </c>
      <c r="N160" s="360">
        <v>4</v>
      </c>
    </row>
    <row r="161" spans="10:14">
      <c r="J161" s="358">
        <v>531008</v>
      </c>
      <c r="K161" s="359">
        <v>550</v>
      </c>
      <c r="L161" s="358" t="s">
        <v>485</v>
      </c>
      <c r="M161" s="360">
        <v>2</v>
      </c>
      <c r="N161" s="360">
        <v>4</v>
      </c>
    </row>
    <row r="162" spans="10:14">
      <c r="J162" s="358">
        <v>533005</v>
      </c>
      <c r="K162" s="359">
        <v>540</v>
      </c>
      <c r="L162" s="358" t="s">
        <v>662</v>
      </c>
      <c r="M162" s="360">
        <v>3</v>
      </c>
      <c r="N162" s="360">
        <v>4</v>
      </c>
    </row>
    <row r="163" spans="10:14">
      <c r="J163" s="358">
        <v>535007</v>
      </c>
      <c r="K163" s="359">
        <v>540</v>
      </c>
      <c r="L163" s="358" t="s">
        <v>486</v>
      </c>
      <c r="M163" s="360">
        <v>3</v>
      </c>
      <c r="N163" s="360">
        <v>4</v>
      </c>
    </row>
    <row r="164" spans="10:14">
      <c r="J164" s="358">
        <v>545011</v>
      </c>
      <c r="K164" s="359">
        <v>580</v>
      </c>
      <c r="L164" s="358" t="s">
        <v>663</v>
      </c>
      <c r="M164" s="360">
        <v>2</v>
      </c>
      <c r="N164" s="360">
        <v>4</v>
      </c>
    </row>
    <row r="165" spans="10:14">
      <c r="J165" s="358">
        <v>550001</v>
      </c>
      <c r="K165" s="359">
        <v>550</v>
      </c>
      <c r="L165" s="358" t="s">
        <v>487</v>
      </c>
      <c r="M165" s="360">
        <v>2</v>
      </c>
      <c r="N165" s="360">
        <v>4</v>
      </c>
    </row>
    <row r="166" spans="10:14">
      <c r="J166" s="358">
        <v>553009</v>
      </c>
      <c r="K166" s="359">
        <v>573</v>
      </c>
      <c r="L166" s="358" t="s">
        <v>488</v>
      </c>
      <c r="M166" s="360" t="s">
        <v>693</v>
      </c>
      <c r="N166" s="360">
        <v>4</v>
      </c>
    </row>
    <row r="167" spans="10:14">
      <c r="J167" s="358">
        <v>553010</v>
      </c>
      <c r="K167" s="359">
        <v>573</v>
      </c>
      <c r="L167" s="358" t="s">
        <v>489</v>
      </c>
      <c r="M167" s="360" t="s">
        <v>693</v>
      </c>
      <c r="N167" s="360">
        <v>4</v>
      </c>
    </row>
    <row r="168" spans="10:14">
      <c r="J168" s="358">
        <v>557007</v>
      </c>
      <c r="K168" s="359">
        <v>561</v>
      </c>
      <c r="L168" s="358" t="s">
        <v>490</v>
      </c>
      <c r="M168" s="360">
        <v>3</v>
      </c>
      <c r="N168" s="360">
        <v>4</v>
      </c>
    </row>
    <row r="169" spans="10:14">
      <c r="J169" s="358">
        <v>559007</v>
      </c>
      <c r="K169" s="359">
        <v>575</v>
      </c>
      <c r="L169" s="358" t="s">
        <v>491</v>
      </c>
      <c r="M169" s="360" t="s">
        <v>693</v>
      </c>
      <c r="N169" s="360">
        <v>4</v>
      </c>
    </row>
    <row r="170" spans="10:14">
      <c r="J170" s="358">
        <v>573012</v>
      </c>
      <c r="K170" s="359">
        <v>573</v>
      </c>
      <c r="L170" s="358" t="s">
        <v>492</v>
      </c>
      <c r="M170" s="360" t="s">
        <v>693</v>
      </c>
      <c r="N170" s="360">
        <v>4</v>
      </c>
    </row>
    <row r="171" spans="10:14">
      <c r="J171" s="358">
        <v>575013</v>
      </c>
      <c r="K171" s="359">
        <v>575</v>
      </c>
      <c r="L171" s="358" t="s">
        <v>664</v>
      </c>
      <c r="M171" s="360" t="s">
        <v>693</v>
      </c>
      <c r="N171" s="360">
        <v>4</v>
      </c>
    </row>
    <row r="172" spans="10:14">
      <c r="J172" s="358">
        <v>601008</v>
      </c>
      <c r="K172" s="359">
        <v>615</v>
      </c>
      <c r="L172" s="358" t="s">
        <v>493</v>
      </c>
      <c r="M172" s="360" t="s">
        <v>693</v>
      </c>
      <c r="N172" s="360">
        <v>5</v>
      </c>
    </row>
    <row r="173" spans="10:14">
      <c r="J173" s="358">
        <v>601009</v>
      </c>
      <c r="K173" s="359">
        <v>615</v>
      </c>
      <c r="L173" s="358" t="s">
        <v>494</v>
      </c>
      <c r="M173" s="360" t="s">
        <v>693</v>
      </c>
      <c r="N173" s="360">
        <v>5</v>
      </c>
    </row>
    <row r="174" spans="10:14">
      <c r="J174" s="358">
        <v>605009</v>
      </c>
      <c r="K174" s="359">
        <v>630</v>
      </c>
      <c r="L174" s="358" t="s">
        <v>665</v>
      </c>
      <c r="M174" s="360">
        <v>2</v>
      </c>
      <c r="N174" s="360">
        <v>4</v>
      </c>
    </row>
    <row r="175" spans="10:14">
      <c r="J175" s="358">
        <v>607022</v>
      </c>
      <c r="K175" s="359">
        <v>607</v>
      </c>
      <c r="L175" s="358" t="s">
        <v>495</v>
      </c>
      <c r="M175" s="360" t="s">
        <v>693</v>
      </c>
      <c r="N175" s="360">
        <v>4</v>
      </c>
    </row>
    <row r="176" spans="10:14">
      <c r="J176" s="358">
        <v>609005</v>
      </c>
      <c r="K176" s="359">
        <v>615</v>
      </c>
      <c r="L176" s="358" t="s">
        <v>496</v>
      </c>
      <c r="M176" s="360" t="s">
        <v>693</v>
      </c>
      <c r="N176" s="360">
        <v>5</v>
      </c>
    </row>
    <row r="177" spans="10:14">
      <c r="J177" s="358">
        <v>611011</v>
      </c>
      <c r="K177" s="359">
        <v>630</v>
      </c>
      <c r="L177" s="358" t="s">
        <v>666</v>
      </c>
      <c r="M177" s="360">
        <v>2</v>
      </c>
      <c r="N177" s="360">
        <v>4</v>
      </c>
    </row>
    <row r="178" spans="10:14">
      <c r="J178" s="358">
        <v>611013</v>
      </c>
      <c r="K178" s="359">
        <v>630</v>
      </c>
      <c r="L178" s="358" t="s">
        <v>497</v>
      </c>
      <c r="M178" s="360">
        <v>2</v>
      </c>
      <c r="N178" s="360">
        <v>4</v>
      </c>
    </row>
    <row r="179" spans="10:14">
      <c r="J179" s="358">
        <v>619017</v>
      </c>
      <c r="K179" s="359">
        <v>766</v>
      </c>
      <c r="L179" s="358" t="s">
        <v>498</v>
      </c>
      <c r="M179" s="360">
        <v>2</v>
      </c>
      <c r="N179" s="360">
        <v>5</v>
      </c>
    </row>
    <row r="180" spans="10:14">
      <c r="J180" s="358">
        <v>621024</v>
      </c>
      <c r="K180" s="359">
        <v>621</v>
      </c>
      <c r="L180" s="358" t="s">
        <v>499</v>
      </c>
      <c r="M180" s="360" t="s">
        <v>693</v>
      </c>
      <c r="N180" s="360">
        <v>4</v>
      </c>
    </row>
    <row r="181" spans="10:14">
      <c r="J181" s="358">
        <v>625005</v>
      </c>
      <c r="K181" s="359">
        <v>756</v>
      </c>
      <c r="L181" s="358" t="s">
        <v>500</v>
      </c>
      <c r="M181" s="360">
        <v>2</v>
      </c>
      <c r="N181" s="360">
        <v>5</v>
      </c>
    </row>
    <row r="182" spans="10:14">
      <c r="J182" s="358">
        <v>625006</v>
      </c>
      <c r="K182" s="359">
        <v>756</v>
      </c>
      <c r="L182" s="358" t="s">
        <v>501</v>
      </c>
      <c r="M182" s="360">
        <v>2</v>
      </c>
      <c r="N182" s="360">
        <v>5</v>
      </c>
    </row>
    <row r="183" spans="10:14">
      <c r="J183" s="358">
        <v>625007</v>
      </c>
      <c r="K183" s="359">
        <v>756</v>
      </c>
      <c r="L183" s="358" t="s">
        <v>502</v>
      </c>
      <c r="M183" s="360">
        <v>2</v>
      </c>
      <c r="N183" s="360">
        <v>5</v>
      </c>
    </row>
    <row r="184" spans="10:14">
      <c r="J184" s="358">
        <v>627008</v>
      </c>
      <c r="K184" s="359">
        <v>630</v>
      </c>
      <c r="L184" s="358" t="s">
        <v>503</v>
      </c>
      <c r="M184" s="360">
        <v>2</v>
      </c>
      <c r="N184" s="360">
        <v>4</v>
      </c>
    </row>
    <row r="185" spans="10:14">
      <c r="J185" s="358">
        <v>631023</v>
      </c>
      <c r="K185" s="359">
        <v>630</v>
      </c>
      <c r="L185" s="358" t="s">
        <v>504</v>
      </c>
      <c r="M185" s="360">
        <v>2</v>
      </c>
      <c r="N185" s="360">
        <v>4</v>
      </c>
    </row>
    <row r="186" spans="10:14">
      <c r="J186" s="358">
        <v>631024</v>
      </c>
      <c r="K186" s="359">
        <v>630</v>
      </c>
      <c r="L186" s="358" t="s">
        <v>667</v>
      </c>
      <c r="M186" s="360">
        <v>2</v>
      </c>
      <c r="N186" s="360">
        <v>4</v>
      </c>
    </row>
    <row r="187" spans="10:14">
      <c r="J187" s="358">
        <v>653006</v>
      </c>
      <c r="K187" s="359">
        <v>756</v>
      </c>
      <c r="L187" s="358" t="s">
        <v>505</v>
      </c>
      <c r="M187" s="360">
        <v>2</v>
      </c>
      <c r="N187" s="360">
        <v>5</v>
      </c>
    </row>
    <row r="188" spans="10:14">
      <c r="J188" s="358">
        <v>655012</v>
      </c>
      <c r="K188" s="359">
        <v>760</v>
      </c>
      <c r="L188" s="358" t="s">
        <v>506</v>
      </c>
      <c r="M188" s="360">
        <v>2</v>
      </c>
      <c r="N188" s="360">
        <v>5</v>
      </c>
    </row>
    <row r="189" spans="10:14">
      <c r="J189" s="358">
        <v>655013</v>
      </c>
      <c r="K189" s="359">
        <v>760</v>
      </c>
      <c r="L189" s="358" t="s">
        <v>507</v>
      </c>
      <c r="M189" s="360">
        <v>2</v>
      </c>
      <c r="N189" s="360">
        <v>5</v>
      </c>
    </row>
    <row r="190" spans="10:14">
      <c r="J190" s="358">
        <v>657024</v>
      </c>
      <c r="K190" s="359">
        <v>657</v>
      </c>
      <c r="L190" s="358" t="s">
        <v>668</v>
      </c>
      <c r="M190" s="360" t="s">
        <v>693</v>
      </c>
      <c r="N190" s="360">
        <v>5</v>
      </c>
    </row>
    <row r="191" spans="10:14">
      <c r="J191" s="358">
        <v>657025</v>
      </c>
      <c r="K191" s="359">
        <v>657</v>
      </c>
      <c r="L191" s="358" t="s">
        <v>508</v>
      </c>
      <c r="M191" s="360" t="s">
        <v>693</v>
      </c>
      <c r="N191" s="360">
        <v>5</v>
      </c>
    </row>
    <row r="192" spans="10:14">
      <c r="J192" s="358">
        <v>657036</v>
      </c>
      <c r="K192" s="359">
        <v>657</v>
      </c>
      <c r="L192" s="358" t="s">
        <v>509</v>
      </c>
      <c r="M192" s="360" t="s">
        <v>693</v>
      </c>
      <c r="N192" s="360">
        <v>5</v>
      </c>
    </row>
    <row r="193" spans="10:14">
      <c r="J193" s="358">
        <v>657038</v>
      </c>
      <c r="K193" s="359">
        <v>657</v>
      </c>
      <c r="L193" s="358" t="s">
        <v>669</v>
      </c>
      <c r="M193" s="360" t="s">
        <v>693</v>
      </c>
      <c r="N193" s="360">
        <v>5</v>
      </c>
    </row>
    <row r="194" spans="10:14">
      <c r="J194" s="358">
        <v>657042</v>
      </c>
      <c r="K194" s="359">
        <v>657</v>
      </c>
      <c r="L194" s="358" t="s">
        <v>510</v>
      </c>
      <c r="M194" s="360" t="s">
        <v>693</v>
      </c>
      <c r="N194" s="360">
        <v>5</v>
      </c>
    </row>
    <row r="195" spans="10:14">
      <c r="J195" s="358">
        <v>661018</v>
      </c>
      <c r="K195" s="359">
        <v>661</v>
      </c>
      <c r="L195" s="358" t="s">
        <v>511</v>
      </c>
      <c r="M195" s="360" t="s">
        <v>693</v>
      </c>
      <c r="N195" s="360">
        <v>5</v>
      </c>
    </row>
    <row r="196" spans="10:14">
      <c r="J196" s="358">
        <v>661020</v>
      </c>
      <c r="K196" s="359">
        <v>661</v>
      </c>
      <c r="L196" s="358" t="s">
        <v>512</v>
      </c>
      <c r="M196" s="360" t="s">
        <v>693</v>
      </c>
      <c r="N196" s="360">
        <v>5</v>
      </c>
    </row>
    <row r="197" spans="10:14">
      <c r="J197" s="358">
        <v>665014</v>
      </c>
      <c r="K197" s="359">
        <v>665</v>
      </c>
      <c r="L197" s="358" t="s">
        <v>513</v>
      </c>
      <c r="M197" s="360" t="s">
        <v>693</v>
      </c>
      <c r="N197" s="360">
        <v>5</v>
      </c>
    </row>
    <row r="198" spans="10:14">
      <c r="J198" s="358">
        <v>665015</v>
      </c>
      <c r="K198" s="359">
        <v>665</v>
      </c>
      <c r="L198" s="358" t="s">
        <v>670</v>
      </c>
      <c r="M198" s="360" t="s">
        <v>693</v>
      </c>
      <c r="N198" s="360">
        <v>5</v>
      </c>
    </row>
    <row r="199" spans="10:14">
      <c r="J199" s="358">
        <v>665016</v>
      </c>
      <c r="K199" s="359">
        <v>665</v>
      </c>
      <c r="L199" s="358" t="s">
        <v>514</v>
      </c>
      <c r="M199" s="360" t="s">
        <v>693</v>
      </c>
      <c r="N199" s="360">
        <v>5</v>
      </c>
    </row>
    <row r="200" spans="10:14">
      <c r="J200" s="358">
        <v>665024</v>
      </c>
      <c r="K200" s="359">
        <v>665</v>
      </c>
      <c r="L200" s="358" t="s">
        <v>515</v>
      </c>
      <c r="M200" s="360" t="s">
        <v>693</v>
      </c>
      <c r="N200" s="360">
        <v>5</v>
      </c>
    </row>
    <row r="201" spans="10:14">
      <c r="J201" s="358">
        <v>667018</v>
      </c>
      <c r="K201" s="359">
        <v>760</v>
      </c>
      <c r="L201" s="358" t="s">
        <v>516</v>
      </c>
      <c r="M201" s="360">
        <v>2</v>
      </c>
      <c r="N201" s="360">
        <v>5</v>
      </c>
    </row>
    <row r="202" spans="10:14">
      <c r="J202" s="358">
        <v>667019</v>
      </c>
      <c r="K202" s="359">
        <v>760</v>
      </c>
      <c r="L202" s="358" t="s">
        <v>517</v>
      </c>
      <c r="M202" s="360">
        <v>2</v>
      </c>
      <c r="N202" s="360">
        <v>5</v>
      </c>
    </row>
    <row r="203" spans="10:14">
      <c r="J203" s="358">
        <v>667021</v>
      </c>
      <c r="K203" s="359">
        <v>760</v>
      </c>
      <c r="L203" s="358" t="s">
        <v>671</v>
      </c>
      <c r="M203" s="360">
        <v>2</v>
      </c>
      <c r="N203" s="360">
        <v>5</v>
      </c>
    </row>
    <row r="204" spans="10:14">
      <c r="J204" s="358">
        <v>671011</v>
      </c>
      <c r="K204" s="359">
        <v>671</v>
      </c>
      <c r="L204" s="358" t="s">
        <v>518</v>
      </c>
      <c r="M204" s="360" t="s">
        <v>693</v>
      </c>
      <c r="N204" s="360">
        <v>5</v>
      </c>
    </row>
    <row r="205" spans="10:14">
      <c r="J205" s="358">
        <v>671013</v>
      </c>
      <c r="K205" s="359">
        <v>671</v>
      </c>
      <c r="L205" s="358" t="s">
        <v>519</v>
      </c>
      <c r="M205" s="360" t="s">
        <v>693</v>
      </c>
      <c r="N205" s="360">
        <v>5</v>
      </c>
    </row>
    <row r="206" spans="10:14">
      <c r="J206" s="358">
        <v>675006</v>
      </c>
      <c r="K206" s="359">
        <v>671</v>
      </c>
      <c r="L206" s="358" t="s">
        <v>520</v>
      </c>
      <c r="M206" s="360" t="s">
        <v>693</v>
      </c>
      <c r="N206" s="360">
        <v>5</v>
      </c>
    </row>
    <row r="207" spans="10:14">
      <c r="J207" s="358">
        <v>679011</v>
      </c>
      <c r="K207" s="359">
        <v>661</v>
      </c>
      <c r="L207" s="358" t="s">
        <v>521</v>
      </c>
      <c r="M207" s="360" t="s">
        <v>693</v>
      </c>
      <c r="N207" s="360">
        <v>5</v>
      </c>
    </row>
    <row r="208" spans="10:14">
      <c r="J208" s="358">
        <v>683009</v>
      </c>
      <c r="K208" s="359">
        <v>661</v>
      </c>
      <c r="L208" s="358" t="s">
        <v>522</v>
      </c>
      <c r="M208" s="360" t="s">
        <v>693</v>
      </c>
      <c r="N208" s="360">
        <v>5</v>
      </c>
    </row>
    <row r="209" spans="10:14">
      <c r="J209" s="358">
        <v>703007</v>
      </c>
      <c r="K209" s="359">
        <v>746</v>
      </c>
      <c r="L209" s="358" t="s">
        <v>672</v>
      </c>
      <c r="M209" s="360">
        <v>3</v>
      </c>
      <c r="N209" s="360">
        <v>5</v>
      </c>
    </row>
    <row r="210" spans="10:14">
      <c r="J210" s="358">
        <v>710003</v>
      </c>
      <c r="K210" s="359">
        <v>710</v>
      </c>
      <c r="L210" s="358" t="s">
        <v>673</v>
      </c>
      <c r="M210" s="360">
        <v>2</v>
      </c>
      <c r="N210" s="360">
        <v>5</v>
      </c>
    </row>
    <row r="211" spans="10:14">
      <c r="J211" s="358">
        <v>711005</v>
      </c>
      <c r="K211" s="359">
        <v>710</v>
      </c>
      <c r="L211" s="358" t="s">
        <v>523</v>
      </c>
      <c r="M211" s="360">
        <v>2</v>
      </c>
      <c r="N211" s="360">
        <v>5</v>
      </c>
    </row>
    <row r="212" spans="10:14">
      <c r="J212" s="358">
        <v>713005</v>
      </c>
      <c r="K212" s="359">
        <v>710</v>
      </c>
      <c r="L212" s="358" t="s">
        <v>524</v>
      </c>
      <c r="M212" s="360">
        <v>2</v>
      </c>
      <c r="N212" s="360">
        <v>5</v>
      </c>
    </row>
    <row r="213" spans="10:14">
      <c r="J213" s="358">
        <v>719004</v>
      </c>
      <c r="K213" s="359">
        <v>846</v>
      </c>
      <c r="L213" s="358" t="s">
        <v>525</v>
      </c>
      <c r="M213" s="360">
        <v>2</v>
      </c>
      <c r="N213" s="360">
        <v>6</v>
      </c>
    </row>
    <row r="214" spans="10:14">
      <c r="J214" s="358">
        <v>723005</v>
      </c>
      <c r="K214" s="359">
        <v>730</v>
      </c>
      <c r="L214" s="358" t="s">
        <v>674</v>
      </c>
      <c r="M214" s="360">
        <v>2</v>
      </c>
      <c r="N214" s="360">
        <v>5</v>
      </c>
    </row>
    <row r="215" spans="10:14">
      <c r="J215" s="358">
        <v>725010</v>
      </c>
      <c r="K215" s="359">
        <v>707</v>
      </c>
      <c r="L215" s="358" t="s">
        <v>675</v>
      </c>
      <c r="M215" s="360" t="s">
        <v>693</v>
      </c>
      <c r="N215" s="360">
        <v>5</v>
      </c>
    </row>
    <row r="216" spans="10:14">
      <c r="J216" s="358">
        <v>727013</v>
      </c>
      <c r="K216" s="359">
        <v>727</v>
      </c>
      <c r="L216" s="358" t="s">
        <v>676</v>
      </c>
      <c r="M216" s="360" t="s">
        <v>693</v>
      </c>
      <c r="N216" s="360">
        <v>5</v>
      </c>
    </row>
    <row r="217" spans="10:14">
      <c r="J217" s="358">
        <v>729006</v>
      </c>
      <c r="K217" s="359">
        <v>730</v>
      </c>
      <c r="L217" s="358" t="s">
        <v>677</v>
      </c>
      <c r="M217" s="360">
        <v>2</v>
      </c>
      <c r="N217" s="360">
        <v>5</v>
      </c>
    </row>
    <row r="218" spans="10:14">
      <c r="J218" s="358">
        <v>741005</v>
      </c>
      <c r="K218" s="359">
        <v>741</v>
      </c>
      <c r="L218" s="358" t="s">
        <v>526</v>
      </c>
      <c r="M218" s="360" t="s">
        <v>693</v>
      </c>
      <c r="N218" s="360">
        <v>5</v>
      </c>
    </row>
    <row r="219" spans="10:14">
      <c r="J219" s="358">
        <v>743026</v>
      </c>
      <c r="K219" s="359">
        <v>740</v>
      </c>
      <c r="L219" s="358" t="s">
        <v>678</v>
      </c>
      <c r="M219" s="360">
        <v>2</v>
      </c>
      <c r="N219" s="360">
        <v>5</v>
      </c>
    </row>
    <row r="220" spans="10:14">
      <c r="J220" s="358">
        <v>743031</v>
      </c>
      <c r="K220" s="359">
        <v>740</v>
      </c>
      <c r="L220" s="358" t="s">
        <v>527</v>
      </c>
      <c r="M220" s="360">
        <v>2</v>
      </c>
      <c r="N220" s="360">
        <v>5</v>
      </c>
    </row>
    <row r="221" spans="10:14">
      <c r="J221" s="358">
        <v>745008</v>
      </c>
      <c r="K221" s="359">
        <v>746</v>
      </c>
      <c r="L221" s="358" t="s">
        <v>679</v>
      </c>
      <c r="M221" s="360">
        <v>3</v>
      </c>
      <c r="N221" s="360">
        <v>5</v>
      </c>
    </row>
    <row r="222" spans="10:14">
      <c r="J222" s="358">
        <v>751062</v>
      </c>
      <c r="K222" s="359">
        <v>751</v>
      </c>
      <c r="L222" s="358" t="s">
        <v>680</v>
      </c>
      <c r="M222" s="360" t="s">
        <v>692</v>
      </c>
      <c r="N222" s="360">
        <v>5</v>
      </c>
    </row>
    <row r="223" spans="10:14">
      <c r="J223" s="358">
        <v>751092</v>
      </c>
      <c r="K223" s="359">
        <v>751</v>
      </c>
      <c r="L223" s="358" t="s">
        <v>681</v>
      </c>
      <c r="M223" s="360" t="s">
        <v>692</v>
      </c>
      <c r="N223" s="360">
        <v>5</v>
      </c>
    </row>
    <row r="224" spans="10:14">
      <c r="J224" s="358">
        <v>751094</v>
      </c>
      <c r="K224" s="359">
        <v>751</v>
      </c>
      <c r="L224" s="358" t="s">
        <v>528</v>
      </c>
      <c r="M224" s="360" t="s">
        <v>692</v>
      </c>
      <c r="N224" s="360">
        <v>5</v>
      </c>
    </row>
    <row r="225" spans="10:14">
      <c r="J225" s="358">
        <v>751098</v>
      </c>
      <c r="K225" s="359">
        <v>751</v>
      </c>
      <c r="L225" s="358" t="s">
        <v>682</v>
      </c>
      <c r="M225" s="360" t="s">
        <v>692</v>
      </c>
      <c r="N225" s="360">
        <v>5</v>
      </c>
    </row>
    <row r="226" spans="10:14">
      <c r="J226" s="358">
        <v>751111</v>
      </c>
      <c r="K226" s="359">
        <v>751</v>
      </c>
      <c r="L226" s="358" t="s">
        <v>683</v>
      </c>
      <c r="M226" s="360" t="s">
        <v>692</v>
      </c>
      <c r="N226" s="360">
        <v>5</v>
      </c>
    </row>
    <row r="227" spans="10:14">
      <c r="J227" s="358">
        <v>760003</v>
      </c>
      <c r="K227" s="359">
        <v>760</v>
      </c>
      <c r="L227" s="358" t="s">
        <v>529</v>
      </c>
      <c r="M227" s="360">
        <v>2</v>
      </c>
      <c r="N227" s="360">
        <v>5</v>
      </c>
    </row>
    <row r="228" spans="10:14">
      <c r="J228" s="358">
        <v>760004</v>
      </c>
      <c r="K228" s="359">
        <v>760</v>
      </c>
      <c r="L228" s="358" t="s">
        <v>530</v>
      </c>
      <c r="M228" s="360">
        <v>2</v>
      </c>
      <c r="N228" s="360">
        <v>5</v>
      </c>
    </row>
    <row r="229" spans="10:14">
      <c r="J229" s="358">
        <v>760005</v>
      </c>
      <c r="K229" s="359">
        <v>760</v>
      </c>
      <c r="L229" s="358" t="s">
        <v>531</v>
      </c>
      <c r="M229" s="360">
        <v>2</v>
      </c>
      <c r="N229" s="360">
        <v>5</v>
      </c>
    </row>
    <row r="230" spans="10:14">
      <c r="J230" s="358">
        <v>761011</v>
      </c>
      <c r="K230" s="359">
        <v>791</v>
      </c>
      <c r="L230" s="358" t="s">
        <v>532</v>
      </c>
      <c r="M230" s="360" t="s">
        <v>693</v>
      </c>
      <c r="N230" s="360">
        <v>5</v>
      </c>
    </row>
    <row r="231" spans="10:14">
      <c r="J231" s="358">
        <v>761015</v>
      </c>
      <c r="K231" s="359">
        <v>791</v>
      </c>
      <c r="L231" s="358" t="s">
        <v>533</v>
      </c>
      <c r="M231" s="360" t="s">
        <v>693</v>
      </c>
      <c r="N231" s="360">
        <v>5</v>
      </c>
    </row>
    <row r="232" spans="10:14">
      <c r="J232" s="358">
        <v>761016</v>
      </c>
      <c r="K232" s="359">
        <v>791</v>
      </c>
      <c r="L232" s="358" t="s">
        <v>534</v>
      </c>
      <c r="M232" s="360" t="s">
        <v>693</v>
      </c>
      <c r="N232" s="360">
        <v>5</v>
      </c>
    </row>
    <row r="233" spans="10:14">
      <c r="J233" s="358">
        <v>765005</v>
      </c>
      <c r="K233" s="359">
        <v>787</v>
      </c>
      <c r="L233" s="358" t="s">
        <v>535</v>
      </c>
      <c r="M233" s="360" t="s">
        <v>693</v>
      </c>
      <c r="N233" s="360">
        <v>6</v>
      </c>
    </row>
    <row r="234" spans="10:14">
      <c r="J234" s="358">
        <v>773021</v>
      </c>
      <c r="K234" s="359">
        <v>773</v>
      </c>
      <c r="L234" s="358" t="s">
        <v>536</v>
      </c>
      <c r="M234" s="360" t="s">
        <v>693</v>
      </c>
      <c r="N234" s="360">
        <v>6</v>
      </c>
    </row>
    <row r="235" spans="10:14">
      <c r="J235" s="358">
        <v>773022</v>
      </c>
      <c r="K235" s="359">
        <v>773</v>
      </c>
      <c r="L235" s="358" t="s">
        <v>537</v>
      </c>
      <c r="M235" s="360" t="s">
        <v>693</v>
      </c>
      <c r="N235" s="360">
        <v>6</v>
      </c>
    </row>
    <row r="236" spans="10:14">
      <c r="J236" s="358">
        <v>773023</v>
      </c>
      <c r="K236" s="359">
        <v>773</v>
      </c>
      <c r="L236" s="358" t="s">
        <v>538</v>
      </c>
      <c r="M236" s="360" t="s">
        <v>693</v>
      </c>
      <c r="N236" s="360">
        <v>6</v>
      </c>
    </row>
    <row r="237" spans="10:14">
      <c r="J237" s="358">
        <v>773028</v>
      </c>
      <c r="K237" s="359">
        <v>773</v>
      </c>
      <c r="L237" s="358" t="s">
        <v>539</v>
      </c>
      <c r="M237" s="360" t="s">
        <v>693</v>
      </c>
      <c r="N237" s="360">
        <v>6</v>
      </c>
    </row>
    <row r="238" spans="10:14">
      <c r="J238" s="358">
        <v>773029</v>
      </c>
      <c r="K238" s="359">
        <v>773</v>
      </c>
      <c r="L238" s="358" t="s">
        <v>540</v>
      </c>
      <c r="M238" s="360" t="s">
        <v>693</v>
      </c>
      <c r="N238" s="360">
        <v>6</v>
      </c>
    </row>
    <row r="239" spans="10:14">
      <c r="J239" s="358">
        <v>773031</v>
      </c>
      <c r="K239" s="359">
        <v>773</v>
      </c>
      <c r="L239" s="358" t="s">
        <v>541</v>
      </c>
      <c r="M239" s="360" t="s">
        <v>693</v>
      </c>
      <c r="N239" s="360">
        <v>6</v>
      </c>
    </row>
    <row r="240" spans="10:14">
      <c r="J240" s="358">
        <v>773032</v>
      </c>
      <c r="K240" s="359">
        <v>773</v>
      </c>
      <c r="L240" s="358" t="s">
        <v>542</v>
      </c>
      <c r="M240" s="360" t="s">
        <v>693</v>
      </c>
      <c r="N240" s="360">
        <v>6</v>
      </c>
    </row>
    <row r="241" spans="10:14">
      <c r="J241" s="358">
        <v>779015</v>
      </c>
      <c r="K241" s="359">
        <v>779</v>
      </c>
      <c r="L241" s="358" t="s">
        <v>543</v>
      </c>
      <c r="M241" s="360" t="s">
        <v>693</v>
      </c>
      <c r="N241" s="360">
        <v>5</v>
      </c>
    </row>
    <row r="242" spans="10:14">
      <c r="J242" s="358">
        <v>781008</v>
      </c>
      <c r="K242" s="359">
        <v>779</v>
      </c>
      <c r="L242" s="358" t="s">
        <v>684</v>
      </c>
      <c r="M242" s="360" t="s">
        <v>693</v>
      </c>
      <c r="N242" s="360">
        <v>5</v>
      </c>
    </row>
    <row r="243" spans="10:14">
      <c r="J243" s="358">
        <v>783005</v>
      </c>
      <c r="K243" s="359">
        <v>779</v>
      </c>
      <c r="L243" s="358" t="s">
        <v>544</v>
      </c>
      <c r="M243" s="360" t="s">
        <v>693</v>
      </c>
      <c r="N243" s="360">
        <v>5</v>
      </c>
    </row>
    <row r="244" spans="10:14">
      <c r="J244" s="358">
        <v>785013</v>
      </c>
      <c r="K244" s="359">
        <v>787</v>
      </c>
      <c r="L244" s="358" t="s">
        <v>545</v>
      </c>
      <c r="M244" s="360" t="s">
        <v>693</v>
      </c>
      <c r="N244" s="360">
        <v>6</v>
      </c>
    </row>
    <row r="245" spans="10:14">
      <c r="J245" s="358">
        <v>785016</v>
      </c>
      <c r="K245" s="359">
        <v>787</v>
      </c>
      <c r="L245" s="358" t="s">
        <v>685</v>
      </c>
      <c r="M245" s="360" t="s">
        <v>693</v>
      </c>
      <c r="N245" s="360">
        <v>6</v>
      </c>
    </row>
    <row r="246" spans="10:14">
      <c r="J246" s="358">
        <v>787021</v>
      </c>
      <c r="K246" s="359">
        <v>787</v>
      </c>
      <c r="L246" s="358" t="s">
        <v>546</v>
      </c>
      <c r="M246" s="360" t="s">
        <v>693</v>
      </c>
      <c r="N246" s="360">
        <v>6</v>
      </c>
    </row>
    <row r="247" spans="10:14">
      <c r="J247" s="358">
        <v>787022</v>
      </c>
      <c r="K247" s="359">
        <v>787</v>
      </c>
      <c r="L247" s="358" t="s">
        <v>547</v>
      </c>
      <c r="M247" s="360" t="s">
        <v>693</v>
      </c>
      <c r="N247" s="360">
        <v>6</v>
      </c>
    </row>
    <row r="248" spans="10:14">
      <c r="J248" s="358">
        <v>787030</v>
      </c>
      <c r="K248" s="359">
        <v>787</v>
      </c>
      <c r="L248" s="358" t="s">
        <v>548</v>
      </c>
      <c r="M248" s="360" t="s">
        <v>693</v>
      </c>
      <c r="N248" s="360">
        <v>6</v>
      </c>
    </row>
    <row r="249" spans="10:14">
      <c r="J249" s="358">
        <v>787033</v>
      </c>
      <c r="K249" s="359">
        <v>787</v>
      </c>
      <c r="L249" s="358" t="s">
        <v>549</v>
      </c>
      <c r="M249" s="360" t="s">
        <v>693</v>
      </c>
      <c r="N249" s="360">
        <v>6</v>
      </c>
    </row>
    <row r="250" spans="10:14">
      <c r="J250" s="358">
        <v>789009</v>
      </c>
      <c r="K250" s="359">
        <v>791</v>
      </c>
      <c r="L250" s="358" t="s">
        <v>550</v>
      </c>
      <c r="M250" s="360" t="s">
        <v>693</v>
      </c>
      <c r="N250" s="360">
        <v>5</v>
      </c>
    </row>
    <row r="251" spans="10:14">
      <c r="J251" s="358">
        <v>791027</v>
      </c>
      <c r="K251" s="359">
        <v>791</v>
      </c>
      <c r="L251" s="358" t="s">
        <v>551</v>
      </c>
      <c r="M251" s="360" t="s">
        <v>693</v>
      </c>
      <c r="N251" s="360">
        <v>5</v>
      </c>
    </row>
    <row r="252" spans="10:14">
      <c r="J252" s="358">
        <v>791028</v>
      </c>
      <c r="K252" s="359">
        <v>791</v>
      </c>
      <c r="L252" s="358" t="s">
        <v>552</v>
      </c>
      <c r="M252" s="360" t="s">
        <v>693</v>
      </c>
      <c r="N252" s="360">
        <v>5</v>
      </c>
    </row>
    <row r="253" spans="10:14">
      <c r="J253" s="358">
        <v>793009</v>
      </c>
      <c r="K253" s="359">
        <v>820</v>
      </c>
      <c r="L253" s="358" t="s">
        <v>553</v>
      </c>
      <c r="M253" s="360">
        <v>2</v>
      </c>
      <c r="N253" s="360">
        <v>6</v>
      </c>
    </row>
    <row r="254" spans="10:14">
      <c r="J254" s="358">
        <v>811007</v>
      </c>
      <c r="K254" s="359">
        <v>849</v>
      </c>
      <c r="L254" s="358" t="s">
        <v>554</v>
      </c>
      <c r="M254" s="360" t="s">
        <v>693</v>
      </c>
      <c r="N254" s="360">
        <v>6</v>
      </c>
    </row>
    <row r="255" spans="10:14">
      <c r="J255" s="358">
        <v>821016</v>
      </c>
      <c r="K255" s="359">
        <v>860</v>
      </c>
      <c r="L255" s="358" t="s">
        <v>555</v>
      </c>
      <c r="M255" s="360">
        <v>2</v>
      </c>
      <c r="N255" s="360">
        <v>6</v>
      </c>
    </row>
    <row r="256" spans="10:14">
      <c r="J256" s="358">
        <v>823009</v>
      </c>
      <c r="K256" s="359">
        <v>846</v>
      </c>
      <c r="L256" s="358" t="s">
        <v>556</v>
      </c>
      <c r="M256" s="360">
        <v>2</v>
      </c>
      <c r="N256" s="360">
        <v>6</v>
      </c>
    </row>
    <row r="257" spans="10:14">
      <c r="J257" s="358">
        <v>827006</v>
      </c>
      <c r="K257" s="359">
        <v>820</v>
      </c>
      <c r="L257" s="358" t="s">
        <v>557</v>
      </c>
      <c r="M257" s="360">
        <v>2</v>
      </c>
      <c r="N257" s="360">
        <v>6</v>
      </c>
    </row>
    <row r="258" spans="10:14">
      <c r="J258" s="358">
        <v>831006</v>
      </c>
      <c r="K258" s="359">
        <v>851</v>
      </c>
      <c r="L258" s="358" t="s">
        <v>686</v>
      </c>
      <c r="M258" s="360" t="s">
        <v>694</v>
      </c>
      <c r="N258" s="360">
        <v>6</v>
      </c>
    </row>
    <row r="259" spans="10:14">
      <c r="J259" s="358">
        <v>831007</v>
      </c>
      <c r="K259" s="359">
        <v>851</v>
      </c>
      <c r="L259" s="358" t="s">
        <v>558</v>
      </c>
      <c r="M259" s="360" t="s">
        <v>694</v>
      </c>
      <c r="N259" s="360">
        <v>6</v>
      </c>
    </row>
    <row r="260" spans="10:14">
      <c r="J260" s="358">
        <v>837007</v>
      </c>
      <c r="K260" s="359">
        <v>851</v>
      </c>
      <c r="L260" s="358" t="s">
        <v>559</v>
      </c>
      <c r="M260" s="360" t="s">
        <v>694</v>
      </c>
      <c r="N260" s="360">
        <v>6</v>
      </c>
    </row>
    <row r="261" spans="10:14">
      <c r="J261" s="358">
        <v>837009</v>
      </c>
      <c r="K261" s="359">
        <v>851</v>
      </c>
      <c r="L261" s="358" t="s">
        <v>560</v>
      </c>
      <c r="M261" s="360" t="s">
        <v>694</v>
      </c>
      <c r="N261" s="360">
        <v>6</v>
      </c>
    </row>
    <row r="262" spans="10:14">
      <c r="J262" s="358">
        <v>845008</v>
      </c>
      <c r="K262" s="359">
        <v>840</v>
      </c>
      <c r="L262" s="358" t="s">
        <v>561</v>
      </c>
      <c r="M262" s="360">
        <v>2</v>
      </c>
      <c r="N262" s="360">
        <v>6</v>
      </c>
    </row>
    <row r="263" spans="10:14">
      <c r="J263" s="358">
        <v>845013</v>
      </c>
      <c r="K263" s="359">
        <v>840</v>
      </c>
      <c r="L263" s="358" t="s">
        <v>562</v>
      </c>
      <c r="M263" s="360">
        <v>2</v>
      </c>
      <c r="N263" s="360">
        <v>6</v>
      </c>
    </row>
    <row r="264" spans="10:14">
      <c r="J264" s="358">
        <v>846002</v>
      </c>
      <c r="K264" s="359">
        <v>846</v>
      </c>
      <c r="L264" s="358" t="s">
        <v>687</v>
      </c>
      <c r="M264" s="360">
        <v>2</v>
      </c>
      <c r="N264" s="360">
        <v>6</v>
      </c>
    </row>
    <row r="265" spans="10:14">
      <c r="J265" s="358">
        <v>847011</v>
      </c>
      <c r="K265" s="359">
        <v>813</v>
      </c>
      <c r="L265" s="358" t="s">
        <v>563</v>
      </c>
      <c r="M265" s="360" t="s">
        <v>694</v>
      </c>
      <c r="N265" s="360">
        <v>6</v>
      </c>
    </row>
    <row r="266" spans="10:14">
      <c r="J266" s="358">
        <v>847012</v>
      </c>
      <c r="K266" s="359">
        <v>813</v>
      </c>
      <c r="L266" s="358" t="s">
        <v>564</v>
      </c>
      <c r="M266" s="360" t="s">
        <v>694</v>
      </c>
      <c r="N266" s="360">
        <v>6</v>
      </c>
    </row>
    <row r="267" spans="10:14">
      <c r="J267" s="358">
        <v>849006</v>
      </c>
      <c r="K267" s="359">
        <v>849</v>
      </c>
      <c r="L267" s="358" t="s">
        <v>565</v>
      </c>
      <c r="M267" s="360" t="s">
        <v>693</v>
      </c>
      <c r="N267" s="360">
        <v>6</v>
      </c>
    </row>
    <row r="268" spans="10:14">
      <c r="J268" s="358">
        <v>849008</v>
      </c>
      <c r="K268" s="359">
        <v>849</v>
      </c>
      <c r="L268" s="358" t="s">
        <v>688</v>
      </c>
      <c r="M268" s="360" t="s">
        <v>693</v>
      </c>
      <c r="N268" s="360">
        <v>6</v>
      </c>
    </row>
    <row r="269" spans="10:14">
      <c r="J269" s="358">
        <v>851071</v>
      </c>
      <c r="K269" s="359">
        <v>851</v>
      </c>
      <c r="L269" s="358" t="s">
        <v>566</v>
      </c>
      <c r="M269" s="360" t="s">
        <v>694</v>
      </c>
      <c r="N269" s="360">
        <v>6</v>
      </c>
    </row>
    <row r="270" spans="10:14">
      <c r="J270" s="358">
        <v>851075</v>
      </c>
      <c r="K270" s="359">
        <v>851</v>
      </c>
      <c r="L270" s="358" t="s">
        <v>567</v>
      </c>
      <c r="M270" s="360" t="s">
        <v>694</v>
      </c>
      <c r="N270" s="360">
        <v>6</v>
      </c>
    </row>
    <row r="271" spans="10:14">
      <c r="J271" s="358">
        <v>851076</v>
      </c>
      <c r="K271" s="359">
        <v>851</v>
      </c>
      <c r="L271" s="358" t="s">
        <v>568</v>
      </c>
      <c r="M271" s="360" t="s">
        <v>694</v>
      </c>
      <c r="N271" s="360">
        <v>6</v>
      </c>
    </row>
    <row r="272" spans="10:14">
      <c r="J272" s="358">
        <v>851087</v>
      </c>
      <c r="K272" s="359">
        <v>851</v>
      </c>
      <c r="L272" s="358" t="s">
        <v>569</v>
      </c>
      <c r="M272" s="360" t="s">
        <v>694</v>
      </c>
      <c r="N272" s="360">
        <v>6</v>
      </c>
    </row>
    <row r="273" spans="10:14">
      <c r="J273" s="358">
        <v>861012</v>
      </c>
      <c r="K273" s="359">
        <v>820</v>
      </c>
      <c r="L273" s="358" t="s">
        <v>689</v>
      </c>
      <c r="M273" s="360">
        <v>2</v>
      </c>
      <c r="N273" s="360">
        <v>6</v>
      </c>
    </row>
  </sheetData>
  <phoneticPr fontId="55" type="noConversion"/>
  <printOptions horizontalCentered="1" verticalCentered="1" gridLinesSet="0"/>
  <pageMargins left="0.39370078740157483" right="0.39370078740157483" top="0.98425196850393704" bottom="0.98425196850393704" header="0.51181102362204722" footer="0.51181102362204722"/>
  <pageSetup paperSize="9" scale="16" orientation="portrait" horizontalDpi="4294967292" verticalDpi="4294967292"/>
  <headerFooter alignWithMargins="0">
    <oddHeader>&amp;L&amp;"Geneva,Fed"&amp;24LØNTABEL</oddHeader>
    <oddFooter>&amp;L&amp;"Geneva,Normal"FRISKOLERNES KONTOR, Prices Havevej 11, 5600 Fåborg&amp;R&amp;"Geneva,Normal"Ole Mikkelsen, friskolekonsulent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5">
    <pageSetUpPr fitToPage="1"/>
  </sheetPr>
  <dimension ref="A1:I79"/>
  <sheetViews>
    <sheetView workbookViewId="0">
      <selection activeCell="G36" sqref="G36"/>
    </sheetView>
  </sheetViews>
  <sheetFormatPr baseColWidth="10" defaultColWidth="11.33203125" defaultRowHeight="13"/>
  <cols>
    <col min="1" max="1" width="23" customWidth="1"/>
    <col min="6" max="6" width="16.6640625" customWidth="1"/>
  </cols>
  <sheetData>
    <row r="1" spans="1:5" s="141" customFormat="1" ht="27" customHeight="1" thickBot="1">
      <c r="A1" s="2690"/>
      <c r="B1" s="2690"/>
      <c r="C1" s="2690"/>
      <c r="D1" s="2690"/>
      <c r="E1" s="2690"/>
    </row>
    <row r="4" spans="1:5">
      <c r="A4" s="437"/>
      <c r="B4" s="438">
        <f>budgetår-2</f>
        <v>2022</v>
      </c>
      <c r="C4" s="438">
        <f>budgetår-1</f>
        <v>2023</v>
      </c>
      <c r="D4" s="438">
        <f>budgetår</f>
        <v>2024</v>
      </c>
      <c r="E4" s="438">
        <f>budgetår+1</f>
        <v>2025</v>
      </c>
    </row>
    <row r="5" spans="1:5">
      <c r="A5" s="432" t="s">
        <v>252</v>
      </c>
      <c r="B5" s="433" t="str">
        <f>IF(Hovedskema!D29=0,"",Hovedskema!D29)</f>
        <v/>
      </c>
      <c r="C5" s="433" t="str">
        <f>IF(Hovedskema!E29=0,"",Hovedskema!E29)</f>
        <v/>
      </c>
      <c r="D5" s="433">
        <f>IF(Hovedskema!F29=0,"",Hovedskema!F29)</f>
        <v>137755</v>
      </c>
      <c r="E5" s="433">
        <f>IF(Hovedskema!G29=0,"",Hovedskema!G29)</f>
        <v>137755</v>
      </c>
    </row>
    <row r="6" spans="1:5">
      <c r="A6" s="432" t="s">
        <v>253</v>
      </c>
      <c r="B6" s="433" t="str">
        <f>IF(Hovedskema!D66=0,"",Hovedskema!D66)</f>
        <v/>
      </c>
      <c r="C6" s="433" t="str">
        <f>IF(Hovedskema!E66=0,"",Hovedskema!E66)</f>
        <v/>
      </c>
      <c r="D6" s="433" t="e" vm="1">
        <f>IF(Hovedskema!F66=0,"",Hovedskema!F66)</f>
        <v>#VALUE!</v>
      </c>
      <c r="E6" s="433" t="e" vm="1">
        <f>IF(Hovedskema!G66=0,"",Hovedskema!G66)</f>
        <v>#VALUE!</v>
      </c>
    </row>
    <row r="7" spans="1:5">
      <c r="A7" s="432" t="s">
        <v>214</v>
      </c>
      <c r="B7" s="433" t="str">
        <f>IF(Hovedskema!D67=0,"",Hovedskema!D67)</f>
        <v/>
      </c>
      <c r="C7" s="433" t="str">
        <f>IF(Hovedskema!E67=0,"",Hovedskema!E67)</f>
        <v/>
      </c>
      <c r="D7" s="433" t="e" vm="1">
        <f>IF(Hovedskema!F67=0,"",Hovedskema!F67)</f>
        <v>#VALUE!</v>
      </c>
      <c r="E7" s="433" t="e" vm="1">
        <f>IF(Hovedskema!G67=0,"",Hovedskema!G67)</f>
        <v>#VALUE!</v>
      </c>
    </row>
    <row r="8" spans="1:5" ht="14" thickBot="1">
      <c r="A8" s="434" t="s">
        <v>219</v>
      </c>
      <c r="B8" s="435">
        <f>Hovedskema!D96-Hovedskema!D102</f>
        <v>0</v>
      </c>
      <c r="C8" s="435">
        <f>Hovedskema!E96-Hovedskema!E102</f>
        <v>0</v>
      </c>
      <c r="D8" s="435" t="e" vm="1">
        <f>Hovedskema!F96-Hovedskema!F102</f>
        <v>#VALUE!</v>
      </c>
      <c r="E8" s="435" t="e" vm="1">
        <f>Hovedskema!G96-Hovedskema!G102</f>
        <v>#VALUE!</v>
      </c>
    </row>
    <row r="9" spans="1:5">
      <c r="A9" s="432" t="s">
        <v>216</v>
      </c>
      <c r="B9" s="433">
        <f>Hovedskema!D4</f>
        <v>0</v>
      </c>
      <c r="C9" s="433">
        <f>Hovedskema!E4</f>
        <v>0</v>
      </c>
      <c r="D9" s="433">
        <f>Hovedskema!F4</f>
        <v>0</v>
      </c>
      <c r="E9" s="433">
        <f>Hovedskema!G4</f>
        <v>0</v>
      </c>
    </row>
    <row r="10" spans="1:5" ht="14" thickBot="1">
      <c r="A10" s="436" t="s">
        <v>217</v>
      </c>
      <c r="B10" s="435">
        <f>Hovedskema!D6</f>
        <v>0</v>
      </c>
      <c r="C10" s="435">
        <f>Hovedskema!E6</f>
        <v>0</v>
      </c>
      <c r="D10" s="435">
        <f>Hovedskema!F6</f>
        <v>0</v>
      </c>
      <c r="E10" s="435">
        <f>Hovedskema!G6</f>
        <v>0</v>
      </c>
    </row>
    <row r="54" spans="1:3">
      <c r="A54" s="6"/>
      <c r="B54" s="6"/>
    </row>
    <row r="55" spans="1:3">
      <c r="A55" t="s">
        <v>172</v>
      </c>
      <c r="B55" s="8"/>
      <c r="C55" s="3"/>
    </row>
    <row r="56" spans="1:3">
      <c r="A56" s="7"/>
    </row>
    <row r="78" spans="9:9">
      <c r="I78" s="1"/>
    </row>
    <row r="79" spans="9:9">
      <c r="I79" s="1"/>
    </row>
  </sheetData>
  <sheetProtection sheet="1" objects="1" scenarios="1"/>
  <mergeCells count="1">
    <mergeCell ref="A1:E1"/>
  </mergeCells>
  <phoneticPr fontId="55" type="noConversion"/>
  <hyperlinks>
    <hyperlink ref="A55" location="4Hovedskema!Print_Area" display="Gå til Hovedskemaet" xr:uid="{00000000-0004-0000-1200-000000000000}"/>
  </hyperlinks>
  <printOptions horizontalCentered="1" verticalCentered="1"/>
  <pageMargins left="0.79027777777777775" right="0.67013888888888884" top="0.97986111111111107" bottom="0.83958333333333335" header="0.51180555555555551" footer="0.50972222222222219"/>
  <pageSetup paperSize="9" scale="95" orientation="portrait"/>
  <headerFooter alignWithMargins="0">
    <oddFooter>&amp;LFriskolernes Kontor&amp;CKursusmateriale 2010&amp;R&amp;A</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5" defaultRowHeight="13"/>
  <sheetData/>
  <phoneticPr fontId="55" type="noConversion"/>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7">
    <pageSetUpPr fitToPage="1"/>
  </sheetPr>
  <dimension ref="A1:K63"/>
  <sheetViews>
    <sheetView topLeftCell="B1" workbookViewId="0">
      <selection activeCell="B5" sqref="B5:G59"/>
    </sheetView>
  </sheetViews>
  <sheetFormatPr baseColWidth="10" defaultColWidth="11.33203125" defaultRowHeight="13"/>
  <sheetData>
    <row r="1" spans="1:9">
      <c r="H1" t="s">
        <v>1</v>
      </c>
      <c r="I1" t="s">
        <v>2</v>
      </c>
    </row>
    <row r="2" spans="1:9">
      <c r="A2" t="s">
        <v>12</v>
      </c>
      <c r="B2" s="2796" t="str">
        <f>"Årslønninger pr. "&amp;A2&amp;", statens takster.   Procentregulering: "&amp;A3</f>
        <v>Årslønninger pr.  , statens takster.   Procentregulering: -0,98696</v>
      </c>
      <c r="C2" s="2796"/>
      <c r="D2" s="2796"/>
      <c r="E2" s="2796"/>
      <c r="F2" s="2796"/>
      <c r="G2" s="2796"/>
      <c r="H2">
        <f>0.17/3</f>
        <v>5.6666666666666671E-2</v>
      </c>
      <c r="I2">
        <f>H2*2</f>
        <v>0.11333333333333334</v>
      </c>
    </row>
    <row r="3" spans="1:9">
      <c r="A3">
        <v>-0.98695999999999995</v>
      </c>
      <c r="B3">
        <f>A3+1</f>
        <v>1.3040000000000052E-2</v>
      </c>
      <c r="D3" t="s">
        <v>101</v>
      </c>
      <c r="G3" t="s">
        <v>102</v>
      </c>
    </row>
    <row r="4" spans="1:9">
      <c r="A4" t="s">
        <v>65</v>
      </c>
      <c r="B4" s="47" t="s">
        <v>113</v>
      </c>
      <c r="C4" s="47" t="s">
        <v>66</v>
      </c>
      <c r="D4" s="47" t="s">
        <v>67</v>
      </c>
      <c r="E4" s="47" t="s">
        <v>68</v>
      </c>
      <c r="F4" s="47" t="s">
        <v>69</v>
      </c>
      <c r="G4" t="s">
        <v>70</v>
      </c>
      <c r="H4" t="s">
        <v>3</v>
      </c>
      <c r="I4" t="s">
        <v>29</v>
      </c>
    </row>
    <row r="5" spans="1:9">
      <c r="A5">
        <v>1</v>
      </c>
      <c r="B5" s="48">
        <f>Grundlon!B4*'H2.Aktuel år'!$B$3</f>
        <v>2410.0136800000096</v>
      </c>
      <c r="C5" s="48">
        <f>Grundlon!C4*'H2.Aktuel år'!$B$3</f>
        <v>2454.9756000000098</v>
      </c>
      <c r="D5" s="48">
        <f>Grundlon!D4*'H2.Aktuel år'!$B$3</f>
        <v>2486.07600000001</v>
      </c>
      <c r="E5" s="48">
        <f>Grundlon!E4*'H2.Aktuel år'!$B$3</f>
        <v>2531.0379200000102</v>
      </c>
      <c r="F5" s="48">
        <f>Grundlon!F4*'H2.Aktuel år'!$B$3</f>
        <v>2562.1513600000103</v>
      </c>
      <c r="G5" s="48">
        <f>Grundlon!G4*'H2.Aktuel år'!$B$3</f>
        <v>2241.8026352000088</v>
      </c>
      <c r="H5" s="44">
        <f t="shared" ref="H5:H59" si="0">ROUND($G5*100/(100-100*$H$2)*$H$2,0)</f>
        <v>135</v>
      </c>
      <c r="I5">
        <f t="shared" ref="I5:I59" si="1">2*H5</f>
        <v>270</v>
      </c>
    </row>
    <row r="6" spans="1:9">
      <c r="A6">
        <v>2</v>
      </c>
      <c r="B6" s="48">
        <f>Grundlon!B5*'H2.Aktuel år'!$B$3</f>
        <v>2447.0212000000097</v>
      </c>
      <c r="C6" s="48">
        <f>Grundlon!C5*'H2.Aktuel år'!$B$3</f>
        <v>2493.0784800000097</v>
      </c>
      <c r="D6" s="48">
        <f>Grundlon!D5*'H2.Aktuel år'!$B$3</f>
        <v>2524.96128000001</v>
      </c>
      <c r="E6" s="48">
        <f>Grundlon!E5*'H2.Aktuel år'!$B$3</f>
        <v>2570.9794400000101</v>
      </c>
      <c r="F6" s="48">
        <f>Grundlon!F5*'H2.Aktuel år'!$B$3</f>
        <v>2602.8752800000102</v>
      </c>
      <c r="G6" s="48">
        <f>Grundlon!G5*'H2.Aktuel år'!$B$3</f>
        <v>2276.4885136000089</v>
      </c>
      <c r="H6" s="45">
        <f t="shared" si="0"/>
        <v>137</v>
      </c>
      <c r="I6">
        <f t="shared" si="1"/>
        <v>274</v>
      </c>
    </row>
    <row r="7" spans="1:9">
      <c r="A7">
        <v>3</v>
      </c>
      <c r="B7" s="48">
        <f>Grundlon!B6*'H2.Aktuel år'!$B$3</f>
        <v>2485.0458400000098</v>
      </c>
      <c r="C7" s="48">
        <f>Grundlon!C6*'H2.Aktuel år'!$B$3</f>
        <v>2532.19848000001</v>
      </c>
      <c r="D7" s="48">
        <f>Grundlon!D6*'H2.Aktuel år'!$B$3</f>
        <v>2564.8636800000099</v>
      </c>
      <c r="E7" s="48">
        <f>Grundlon!E6*'H2.Aktuel år'!$B$3</f>
        <v>2612.0163200000102</v>
      </c>
      <c r="F7" s="48">
        <f>Grundlon!F6*'H2.Aktuel år'!$B$3</f>
        <v>2644.6945600000104</v>
      </c>
      <c r="G7" s="48">
        <f>Grundlon!G6*'H2.Aktuel år'!$B$3</f>
        <v>2312.1156192000094</v>
      </c>
      <c r="H7" s="45">
        <f t="shared" si="0"/>
        <v>139</v>
      </c>
      <c r="I7">
        <f t="shared" si="1"/>
        <v>278</v>
      </c>
    </row>
    <row r="8" spans="1:9">
      <c r="A8">
        <v>4</v>
      </c>
      <c r="B8" s="48">
        <f>Grundlon!B7*'H2.Aktuel år'!$B$3</f>
        <v>2524.1136800000099</v>
      </c>
      <c r="C8" s="48">
        <f>Grundlon!C7*'H2.Aktuel år'!$B$3</f>
        <v>2572.4529600000101</v>
      </c>
      <c r="D8" s="48">
        <f>Grundlon!D7*'H2.Aktuel år'!$B$3</f>
        <v>2605.9136000000103</v>
      </c>
      <c r="E8" s="48">
        <f>Grundlon!E7*'H2.Aktuel år'!$B$3</f>
        <v>2654.2268000000104</v>
      </c>
      <c r="F8" s="48">
        <f>Grundlon!F7*'H2.Aktuel år'!$B$3</f>
        <v>2687.6744000000108</v>
      </c>
      <c r="G8" s="48">
        <f>Grundlon!G7*'H2.Aktuel år'!$B$3</f>
        <v>2348.7310264000093</v>
      </c>
      <c r="H8" s="45">
        <f t="shared" si="0"/>
        <v>141</v>
      </c>
      <c r="I8">
        <f t="shared" si="1"/>
        <v>282</v>
      </c>
    </row>
    <row r="9" spans="1:9">
      <c r="A9">
        <v>5</v>
      </c>
      <c r="B9" s="48">
        <f>Grundlon!B8*'H2.Aktuel år'!$B$3</f>
        <v>2564.2508000000103</v>
      </c>
      <c r="C9" s="48">
        <f>Grundlon!C8*'H2.Aktuel år'!$B$3</f>
        <v>2613.7636800000105</v>
      </c>
      <c r="D9" s="48">
        <f>Grundlon!D8*'H2.Aktuel år'!$B$3</f>
        <v>2648.0588800000105</v>
      </c>
      <c r="E9" s="48">
        <f>Grundlon!E8*'H2.Aktuel år'!$B$3</f>
        <v>2697.5717600000107</v>
      </c>
      <c r="F9" s="48">
        <f>Grundlon!F8*'H2.Aktuel år'!$B$3</f>
        <v>2731.8408800000107</v>
      </c>
      <c r="G9" s="48">
        <f>Grundlon!G8*'H2.Aktuel år'!$B$3</f>
        <v>2386.3348656000098</v>
      </c>
      <c r="H9" s="45">
        <f t="shared" si="0"/>
        <v>143</v>
      </c>
      <c r="I9">
        <f t="shared" si="1"/>
        <v>286</v>
      </c>
    </row>
    <row r="10" spans="1:9">
      <c r="A10">
        <v>6</v>
      </c>
      <c r="B10" s="48">
        <f>Grundlon!B9*'H2.Aktuel år'!$B$3</f>
        <v>2605.5224000000103</v>
      </c>
      <c r="C10" s="48">
        <f>Grundlon!C9*'H2.Aktuel år'!$B$3</f>
        <v>2656.2480000000105</v>
      </c>
      <c r="D10" s="48">
        <f>Grundlon!D9*'H2.Aktuel år'!$B$3</f>
        <v>2691.3908000000106</v>
      </c>
      <c r="E10" s="48">
        <f>Grundlon!E9*'H2.Aktuel år'!$B$3</f>
        <v>2742.1164000000108</v>
      </c>
      <c r="F10" s="48">
        <f>Grundlon!F9*'H2.Aktuel år'!$B$3</f>
        <v>2777.2331200000108</v>
      </c>
      <c r="G10" s="48">
        <f>Grundlon!G9*'H2.Aktuel år'!$B$3</f>
        <v>2424.9974224000098</v>
      </c>
      <c r="H10" s="45">
        <f t="shared" si="0"/>
        <v>146</v>
      </c>
      <c r="I10">
        <f t="shared" si="1"/>
        <v>292</v>
      </c>
    </row>
    <row r="11" spans="1:9">
      <c r="A11">
        <v>7</v>
      </c>
      <c r="B11" s="48">
        <f>Grundlon!B10*'H2.Aktuel år'!$B$3</f>
        <v>2647.8763200000103</v>
      </c>
      <c r="C11" s="48">
        <f>Grundlon!C10*'H2.Aktuel år'!$B$3</f>
        <v>2699.8668000000107</v>
      </c>
      <c r="D11" s="48">
        <f>Grundlon!D10*'H2.Aktuel år'!$B$3</f>
        <v>2735.8572000000108</v>
      </c>
      <c r="E11" s="48">
        <f>Grundlon!E10*'H2.Aktuel år'!$B$3</f>
        <v>2787.8476800000112</v>
      </c>
      <c r="F11" s="48">
        <f>Grundlon!F10*'H2.Aktuel år'!$B$3</f>
        <v>2823.8250400000111</v>
      </c>
      <c r="G11" s="48">
        <f>Grundlon!G10*'H2.Aktuel år'!$B$3</f>
        <v>2464.6956160000095</v>
      </c>
      <c r="H11" s="45">
        <f t="shared" si="0"/>
        <v>148</v>
      </c>
      <c r="I11">
        <f t="shared" si="1"/>
        <v>296</v>
      </c>
    </row>
    <row r="12" spans="1:9">
      <c r="A12">
        <v>8</v>
      </c>
      <c r="B12" s="48">
        <f>Grundlon!B11*'H2.Aktuel år'!$B$3</f>
        <v>2691.4038400000109</v>
      </c>
      <c r="C12" s="48">
        <f>Grundlon!C11*'H2.Aktuel år'!$B$3</f>
        <v>2744.6852800000111</v>
      </c>
      <c r="D12" s="48">
        <f>Grundlon!D11*'H2.Aktuel år'!$B$3</f>
        <v>2781.575440000011</v>
      </c>
      <c r="E12" s="48">
        <f>Grundlon!E11*'H2.Aktuel år'!$B$3</f>
        <v>2834.8568800000112</v>
      </c>
      <c r="F12" s="48">
        <f>Grundlon!F11*'H2.Aktuel år'!$B$3</f>
        <v>2871.7470400000116</v>
      </c>
      <c r="G12" s="48">
        <f>Grundlon!G11*'H2.Aktuel år'!$B$3</f>
        <v>2505.49960160001</v>
      </c>
      <c r="H12" s="45">
        <f t="shared" si="0"/>
        <v>151</v>
      </c>
      <c r="I12">
        <f t="shared" si="1"/>
        <v>302</v>
      </c>
    </row>
    <row r="13" spans="1:9">
      <c r="A13">
        <v>9</v>
      </c>
      <c r="B13" s="48">
        <f>Grundlon!B12*'H2.Aktuel år'!$B$3</f>
        <v>2736.170160000011</v>
      </c>
      <c r="C13" s="48">
        <f>Grundlon!C12*'H2.Aktuel år'!$B$3</f>
        <v>2790.7556000000109</v>
      </c>
      <c r="D13" s="48">
        <f>Grundlon!D12*'H2.Aktuel år'!$B$3</f>
        <v>2828.5846400000114</v>
      </c>
      <c r="E13" s="48">
        <f>Grundlon!E12*'H2.Aktuel år'!$B$3</f>
        <v>2883.1700800000112</v>
      </c>
      <c r="F13" s="48">
        <f>Grundlon!F12*'H2.Aktuel år'!$B$3</f>
        <v>2920.9860800000115</v>
      </c>
      <c r="G13" s="48">
        <f>Grundlon!G12*'H2.Aktuel år'!$B$3</f>
        <v>2547.4332424000099</v>
      </c>
      <c r="H13" s="45">
        <f t="shared" si="0"/>
        <v>153</v>
      </c>
      <c r="I13">
        <f t="shared" si="1"/>
        <v>306</v>
      </c>
    </row>
    <row r="14" spans="1:9">
      <c r="A14">
        <v>10</v>
      </c>
      <c r="B14" s="48">
        <f>Grundlon!B13*'H2.Aktuel år'!$B$3</f>
        <v>2782.1231200000111</v>
      </c>
      <c r="C14" s="48">
        <f>Grundlon!C13*'H2.Aktuel år'!$B$3</f>
        <v>2838.1038400000111</v>
      </c>
      <c r="D14" s="48">
        <f>Grundlon!D13*'H2.Aktuel år'!$B$3</f>
        <v>2876.8456800000113</v>
      </c>
      <c r="E14" s="48">
        <f>Grundlon!E13*'H2.Aktuel år'!$B$3</f>
        <v>2932.8133600000115</v>
      </c>
      <c r="F14" s="48">
        <f>Grundlon!F13*'H2.Aktuel år'!$B$3</f>
        <v>2971.5812800000117</v>
      </c>
      <c r="G14" s="48">
        <f>Grundlon!G13*'H2.Aktuel år'!$B$3</f>
        <v>2590.5198800000103</v>
      </c>
      <c r="H14" s="45">
        <f t="shared" si="0"/>
        <v>156</v>
      </c>
      <c r="I14">
        <f t="shared" si="1"/>
        <v>312</v>
      </c>
    </row>
    <row r="15" spans="1:9">
      <c r="A15">
        <v>11</v>
      </c>
      <c r="B15" s="48">
        <f>Grundlon!B14*'H2.Aktuel år'!$B$3</f>
        <v>2818.3873600000111</v>
      </c>
      <c r="C15" s="48">
        <f>Grundlon!C14*'H2.Aktuel år'!$B$3</f>
        <v>2875.7503200000115</v>
      </c>
      <c r="D15" s="48">
        <f>Grundlon!D14*'H2.Aktuel år'!$B$3</f>
        <v>2915.4701600000117</v>
      </c>
      <c r="E15" s="48">
        <f>Grundlon!E14*'H2.Aktuel år'!$B$3</f>
        <v>2972.8331200000116</v>
      </c>
      <c r="F15" s="48">
        <f>Grundlon!F14*'H2.Aktuel år'!$B$3</f>
        <v>3012.539920000012</v>
      </c>
      <c r="G15" s="48">
        <f>Grundlon!G14*'H2.Aktuel år'!$B$3</f>
        <v>2634.7832472000105</v>
      </c>
      <c r="H15" s="45">
        <f t="shared" si="0"/>
        <v>158</v>
      </c>
      <c r="I15">
        <f t="shared" si="1"/>
        <v>316</v>
      </c>
    </row>
    <row r="16" spans="1:9">
      <c r="A16">
        <v>12</v>
      </c>
      <c r="B16" s="48">
        <f>Grundlon!B15*'H2.Aktuel år'!$B$3</f>
        <v>2866.9092000000114</v>
      </c>
      <c r="C16" s="48">
        <f>Grundlon!C15*'H2.Aktuel år'!$B$3</f>
        <v>2925.7196000000117</v>
      </c>
      <c r="D16" s="48">
        <f>Grundlon!D15*'H2.Aktuel år'!$B$3</f>
        <v>2966.4565600000119</v>
      </c>
      <c r="E16" s="48">
        <f>Grundlon!E15*'H2.Aktuel år'!$B$3</f>
        <v>3025.2408800000121</v>
      </c>
      <c r="F16" s="48">
        <f>Grundlon!F15*'H2.Aktuel år'!$B$3</f>
        <v>3065.9517600000122</v>
      </c>
      <c r="G16" s="48">
        <f>Grundlon!G15*'H2.Aktuel år'!$B$3</f>
        <v>2680.2700272000106</v>
      </c>
      <c r="H16" s="45">
        <f t="shared" si="0"/>
        <v>161</v>
      </c>
      <c r="I16">
        <f t="shared" si="1"/>
        <v>322</v>
      </c>
    </row>
    <row r="17" spans="1:11">
      <c r="A17">
        <v>13</v>
      </c>
      <c r="B17" s="48">
        <f>Grundlon!B16*'H2.Aktuel år'!$B$3</f>
        <v>2916.8002400000114</v>
      </c>
      <c r="C17" s="48">
        <f>Grundlon!C16*'H2.Aktuel år'!$B$3</f>
        <v>2977.0841600000117</v>
      </c>
      <c r="D17" s="48">
        <f>Grundlon!D16*'H2.Aktuel år'!$B$3</f>
        <v>3018.8121600000118</v>
      </c>
      <c r="E17" s="48">
        <f>Grundlon!E16*'H2.Aktuel år'!$B$3</f>
        <v>3079.1221600000122</v>
      </c>
      <c r="F17" s="48">
        <f>Grundlon!F16*'H2.Aktuel år'!$B$3</f>
        <v>3120.8371200000124</v>
      </c>
      <c r="G17" s="48">
        <f>Grundlon!G16*'H2.Aktuel år'!$B$3</f>
        <v>2727.0042136000106</v>
      </c>
      <c r="H17" s="45">
        <f t="shared" si="0"/>
        <v>164</v>
      </c>
      <c r="I17">
        <f t="shared" si="1"/>
        <v>328</v>
      </c>
      <c r="K17" s="46"/>
    </row>
    <row r="18" spans="1:11">
      <c r="A18">
        <v>14</v>
      </c>
      <c r="B18" s="48">
        <f>Grundlon!B17*'H2.Aktuel år'!$B$3</f>
        <v>2968.0474400000116</v>
      </c>
      <c r="C18" s="48">
        <f>Grundlon!C17*'H2.Aktuel år'!$B$3</f>
        <v>3029.8570400000121</v>
      </c>
      <c r="D18" s="48">
        <f>Grundlon!D17*'H2.Aktuel år'!$B$3</f>
        <v>3072.6412800000121</v>
      </c>
      <c r="E18" s="48">
        <f>Grundlon!E17*'H2.Aktuel år'!$B$3</f>
        <v>3134.4378400000123</v>
      </c>
      <c r="F18" s="48">
        <f>Grundlon!F17*'H2.Aktuel år'!$B$3</f>
        <v>3177.2220800000127</v>
      </c>
      <c r="G18" s="48">
        <f>Grundlon!G17*'H2.Aktuel år'!$B$3</f>
        <v>2775.0324896000106</v>
      </c>
      <c r="H18" s="45">
        <f t="shared" si="0"/>
        <v>167</v>
      </c>
      <c r="I18">
        <f t="shared" si="1"/>
        <v>334</v>
      </c>
    </row>
    <row r="19" spans="1:11">
      <c r="A19">
        <v>15</v>
      </c>
      <c r="B19" s="48">
        <f>Grundlon!B18*'H2.Aktuel år'!$B$3</f>
        <v>3020.7029600000119</v>
      </c>
      <c r="C19" s="48">
        <f>Grundlon!C18*'H2.Aktuel år'!$B$3</f>
        <v>3084.0512800000124</v>
      </c>
      <c r="D19" s="48">
        <f>Grundlon!D18*'H2.Aktuel år'!$B$3</f>
        <v>3127.9048000000125</v>
      </c>
      <c r="E19" s="48">
        <f>Grundlon!E18*'H2.Aktuel år'!$B$3</f>
        <v>3191.2792000000127</v>
      </c>
      <c r="F19" s="48">
        <f>Grundlon!F18*'H2.Aktuel år'!$B$3</f>
        <v>3235.1457600000126</v>
      </c>
      <c r="G19" s="48">
        <f>Grundlon!G18*'H2.Aktuel år'!$B$3</f>
        <v>2824.3551160000111</v>
      </c>
      <c r="H19" s="45">
        <f t="shared" si="0"/>
        <v>170</v>
      </c>
      <c r="I19">
        <f t="shared" si="1"/>
        <v>340</v>
      </c>
    </row>
    <row r="20" spans="1:11">
      <c r="A20">
        <v>16</v>
      </c>
      <c r="B20" s="48">
        <f>Grundlon!B19*'H2.Aktuel år'!$B$3</f>
        <v>3061.0487200000121</v>
      </c>
      <c r="C20" s="48">
        <f>Grundlon!C19*'H2.Aktuel år'!$B$3</f>
        <v>3126.0140000000124</v>
      </c>
      <c r="D20" s="48">
        <f>Grundlon!D19*'H2.Aktuel år'!$B$3</f>
        <v>3171.0020000000127</v>
      </c>
      <c r="E20" s="48">
        <f>Grundlon!E19*'H2.Aktuel år'!$B$3</f>
        <v>3235.9542400000128</v>
      </c>
      <c r="F20" s="48">
        <f>Grundlon!F19*'H2.Aktuel år'!$B$3</f>
        <v>3280.942240000013</v>
      </c>
      <c r="G20" s="48">
        <f>Grundlon!G19*'H2.Aktuel år'!$B$3</f>
        <v>2875.0659808000114</v>
      </c>
      <c r="H20" s="45">
        <f t="shared" si="0"/>
        <v>173</v>
      </c>
      <c r="I20">
        <f t="shared" si="1"/>
        <v>346</v>
      </c>
    </row>
    <row r="21" spans="1:11">
      <c r="A21">
        <v>17</v>
      </c>
      <c r="B21" s="48">
        <f>Grundlon!B20*'H2.Aktuel år'!$B$3</f>
        <v>3116.6252000000122</v>
      </c>
      <c r="C21" s="48">
        <f>Grundlon!C20*'H2.Aktuel år'!$B$3</f>
        <v>3183.2465600000128</v>
      </c>
      <c r="D21" s="48">
        <f>Grundlon!D20*'H2.Aktuel år'!$B$3</f>
        <v>3229.3690400000128</v>
      </c>
      <c r="E21" s="48">
        <f>Grundlon!E20*'H2.Aktuel år'!$B$3</f>
        <v>3295.9773600000131</v>
      </c>
      <c r="F21" s="48">
        <f>Grundlon!F20*'H2.Aktuel år'!$B$3</f>
        <v>3342.0737600000134</v>
      </c>
      <c r="G21" s="48">
        <f>Grundlon!G20*'H2.Aktuel år'!$B$3</f>
        <v>2927.1417424000115</v>
      </c>
      <c r="H21" s="45">
        <f t="shared" si="0"/>
        <v>176</v>
      </c>
      <c r="I21">
        <f t="shared" si="1"/>
        <v>352</v>
      </c>
    </row>
    <row r="22" spans="1:11">
      <c r="A22">
        <v>18</v>
      </c>
      <c r="B22" s="48">
        <f>Grundlon!B21*'H2.Aktuel år'!$B$3</f>
        <v>3173.7664800000125</v>
      </c>
      <c r="C22" s="48">
        <f>Grundlon!C21*'H2.Aktuel år'!$B$3</f>
        <v>3242.0830400000127</v>
      </c>
      <c r="D22" s="48">
        <f>Grundlon!D21*'H2.Aktuel år'!$B$3</f>
        <v>3289.366080000013</v>
      </c>
      <c r="E22" s="48">
        <f>Grundlon!E21*'H2.Aktuel år'!$B$3</f>
        <v>3357.6696000000134</v>
      </c>
      <c r="F22" s="48">
        <f>Grundlon!F21*'H2.Aktuel år'!$B$3</f>
        <v>3404.9396000000133</v>
      </c>
      <c r="G22" s="48">
        <f>Grundlon!G21*'H2.Aktuel år'!$B$3</f>
        <v>2980.6766800000119</v>
      </c>
      <c r="H22" s="45">
        <f t="shared" si="0"/>
        <v>179</v>
      </c>
      <c r="I22">
        <f t="shared" si="1"/>
        <v>358</v>
      </c>
    </row>
    <row r="23" spans="1:11">
      <c r="A23">
        <v>19</v>
      </c>
      <c r="B23" s="48">
        <f>Grundlon!B22*'H2.Aktuel år'!$B$3</f>
        <v>3216.4072800000126</v>
      </c>
      <c r="C23" s="48">
        <f>Grundlon!C22*'H2.Aktuel år'!$B$3</f>
        <v>3286.4581600000129</v>
      </c>
      <c r="D23" s="48">
        <f>Grundlon!D22*'H2.Aktuel år'!$B$3</f>
        <v>3334.927840000013</v>
      </c>
      <c r="E23" s="48">
        <f>Grundlon!E22*'H2.Aktuel år'!$B$3</f>
        <v>3404.9917600000135</v>
      </c>
      <c r="F23" s="48">
        <f>Grundlon!F22*'H2.Aktuel år'!$B$3</f>
        <v>3453.5005600000136</v>
      </c>
      <c r="G23" s="48">
        <f>Grundlon!G22*'H2.Aktuel år'!$B$3</f>
        <v>3035.6704024000119</v>
      </c>
      <c r="H23" s="45">
        <f t="shared" si="0"/>
        <v>182</v>
      </c>
      <c r="I23">
        <f t="shared" si="1"/>
        <v>364</v>
      </c>
    </row>
    <row r="24" spans="1:11">
      <c r="A24">
        <v>20</v>
      </c>
      <c r="B24" s="48">
        <f>Grundlon!B23*'H2.Aktuel år'!$B$3</f>
        <v>3260.6911200000127</v>
      </c>
      <c r="C24" s="48">
        <f>Grundlon!C23*'H2.Aktuel år'!$B$3</f>
        <v>3332.502400000013</v>
      </c>
      <c r="D24" s="48">
        <f>Grundlon!D23*'H2.Aktuel år'!$B$3</f>
        <v>3382.2369600000134</v>
      </c>
      <c r="E24" s="48">
        <f>Grundlon!E23*'H2.Aktuel år'!$B$3</f>
        <v>3454.0612800000135</v>
      </c>
      <c r="F24" s="48">
        <f>Grundlon!F23*'H2.Aktuel år'!$B$3</f>
        <v>3503.7697600000138</v>
      </c>
      <c r="G24" s="48">
        <f>Grundlon!G23*'H2.Aktuel år'!$B$3</f>
        <v>3092.1701144000122</v>
      </c>
      <c r="H24" s="45">
        <f t="shared" si="0"/>
        <v>186</v>
      </c>
      <c r="I24">
        <f t="shared" si="1"/>
        <v>372</v>
      </c>
    </row>
    <row r="25" spans="1:11">
      <c r="A25">
        <v>21</v>
      </c>
      <c r="B25" s="48">
        <f>Grundlon!B24*'H2.Aktuel år'!$B$3</f>
        <v>3314.6636800000133</v>
      </c>
      <c r="C25" s="48">
        <f>Grundlon!C24*'H2.Aktuel år'!$B$3</f>
        <v>3388.3266400000134</v>
      </c>
      <c r="D25" s="48">
        <f>Grundlon!D24*'H2.Aktuel år'!$B$3</f>
        <v>3439.3260800000135</v>
      </c>
      <c r="E25" s="48">
        <f>Grundlon!E24*'H2.Aktuel år'!$B$3</f>
        <v>3512.989040000014</v>
      </c>
      <c r="F25" s="48">
        <f>Grundlon!F24*'H2.Aktuel år'!$B$3</f>
        <v>3563.9884800000141</v>
      </c>
      <c r="G25" s="48">
        <f>Grundlon!G24*'H2.Aktuel år'!$B$3</f>
        <v>3150.2464928000127</v>
      </c>
      <c r="H25" s="45">
        <f t="shared" si="0"/>
        <v>189</v>
      </c>
      <c r="I25">
        <f t="shared" si="1"/>
        <v>378</v>
      </c>
    </row>
    <row r="26" spans="1:11">
      <c r="A26">
        <v>22</v>
      </c>
      <c r="B26" s="48">
        <f>Grundlon!B25*'H2.Aktuel år'!$B$3</f>
        <v>3364.6720800000135</v>
      </c>
      <c r="C26" s="48">
        <f>Grundlon!C25*'H2.Aktuel år'!$B$3</f>
        <v>3438.3350400000136</v>
      </c>
      <c r="D26" s="48">
        <f>Grundlon!D25*'H2.Aktuel år'!$B$3</f>
        <v>3489.3344800000136</v>
      </c>
      <c r="E26" s="48">
        <f>Grundlon!E25*'H2.Aktuel år'!$B$3</f>
        <v>3562.9974400000142</v>
      </c>
      <c r="F26" s="48">
        <f>Grundlon!F25*'H2.Aktuel år'!$B$3</f>
        <v>3613.9968800000142</v>
      </c>
      <c r="G26" s="48">
        <f>Grundlon!G25*'H2.Aktuel år'!$B$3</f>
        <v>3208.2746232000127</v>
      </c>
      <c r="H26" s="45">
        <f t="shared" si="0"/>
        <v>193</v>
      </c>
      <c r="I26">
        <f t="shared" si="1"/>
        <v>386</v>
      </c>
    </row>
    <row r="27" spans="1:11">
      <c r="A27">
        <v>23</v>
      </c>
      <c r="B27" s="48">
        <f>Grundlon!B26*'H2.Aktuel år'!$B$3</f>
        <v>3418.2664800000134</v>
      </c>
      <c r="C27" s="48">
        <f>Grundlon!C26*'H2.Aktuel år'!$B$3</f>
        <v>3489.8821600000138</v>
      </c>
      <c r="D27" s="48">
        <f>Grundlon!D26*'H2.Aktuel år'!$B$3</f>
        <v>3539.4993600000139</v>
      </c>
      <c r="E27" s="48">
        <f>Grundlon!E26*'H2.Aktuel år'!$B$3</f>
        <v>3611.1411200000143</v>
      </c>
      <c r="F27" s="48">
        <f>Grundlon!F26*'H2.Aktuel år'!$B$3</f>
        <v>3660.7192000000146</v>
      </c>
      <c r="G27" s="48">
        <f>Grundlon!G26*'H2.Aktuel år'!$B$3</f>
        <v>3266.1620520000129</v>
      </c>
      <c r="H27" s="45">
        <f t="shared" si="0"/>
        <v>196</v>
      </c>
      <c r="I27">
        <f t="shared" si="1"/>
        <v>392</v>
      </c>
    </row>
    <row r="28" spans="1:11">
      <c r="A28">
        <v>24</v>
      </c>
      <c r="B28" s="48">
        <f>Grundlon!B27*'H2.Aktuel år'!$B$3</f>
        <v>3473.4908800000139</v>
      </c>
      <c r="C28" s="48">
        <f>Grundlon!C27*'H2.Aktuel år'!$B$3</f>
        <v>3543.098400000014</v>
      </c>
      <c r="D28" s="48">
        <f>Grundlon!D27*'H2.Aktuel år'!$B$3</f>
        <v>3591.2942400000143</v>
      </c>
      <c r="E28" s="48">
        <f>Grundlon!E27*'H2.Aktuel år'!$B$3</f>
        <v>3660.9148000000146</v>
      </c>
      <c r="F28" s="48">
        <f>Grundlon!F27*'H2.Aktuel år'!$B$3</f>
        <v>3709.1106400000149</v>
      </c>
      <c r="G28" s="48">
        <f>Grundlon!G27*'H2.Aktuel år'!$B$3</f>
        <v>3325.6951288000132</v>
      </c>
      <c r="H28" s="45">
        <f t="shared" si="0"/>
        <v>200</v>
      </c>
      <c r="I28">
        <f t="shared" si="1"/>
        <v>400</v>
      </c>
    </row>
    <row r="29" spans="1:11">
      <c r="A29">
        <v>25</v>
      </c>
      <c r="B29" s="48">
        <f>Grundlon!B28*'H2.Aktuel år'!$B$3</f>
        <v>3529.9410400000138</v>
      </c>
      <c r="C29" s="48">
        <f>Grundlon!C28*'H2.Aktuel år'!$B$3</f>
        <v>3597.3839200000143</v>
      </c>
      <c r="D29" s="48">
        <f>Grundlon!D28*'H2.Aktuel år'!$B$3</f>
        <v>3644.0801600000145</v>
      </c>
      <c r="E29" s="48">
        <f>Grundlon!E28*'H2.Aktuel år'!$B$3</f>
        <v>3711.5230400000146</v>
      </c>
      <c r="F29" s="48">
        <f>Grundlon!F28*'H2.Aktuel år'!$B$3</f>
        <v>3758.206240000015</v>
      </c>
      <c r="G29" s="48">
        <f>Grundlon!G28*'H2.Aktuel år'!$B$3</f>
        <v>3386.7709680000135</v>
      </c>
      <c r="H29" s="45">
        <f t="shared" si="0"/>
        <v>203</v>
      </c>
      <c r="I29">
        <f t="shared" si="1"/>
        <v>406</v>
      </c>
    </row>
    <row r="30" spans="1:11">
      <c r="A30">
        <v>26</v>
      </c>
      <c r="B30" s="48">
        <f>Grundlon!B29*'H2.Aktuel år'!$B$3</f>
        <v>3587.708240000014</v>
      </c>
      <c r="C30" s="48">
        <f>Grundlon!C29*'H2.Aktuel år'!$B$3</f>
        <v>3652.8039200000144</v>
      </c>
      <c r="D30" s="48">
        <f>Grundlon!D29*'H2.Aktuel år'!$B$3</f>
        <v>3697.8832000000148</v>
      </c>
      <c r="E30" s="48">
        <f>Grundlon!E29*'H2.Aktuel år'!$B$3</f>
        <v>3762.9919200000149</v>
      </c>
      <c r="F30" s="48">
        <f>Grundlon!F29*'H2.Aktuel år'!$B$3</f>
        <v>3808.0581600000151</v>
      </c>
      <c r="G30" s="48">
        <f>Grundlon!G29*'H2.Aktuel år'!$B$3</f>
        <v>3449.452813600014</v>
      </c>
      <c r="H30" s="45">
        <f t="shared" si="0"/>
        <v>207</v>
      </c>
      <c r="I30">
        <f t="shared" si="1"/>
        <v>414</v>
      </c>
    </row>
    <row r="31" spans="1:11">
      <c r="A31">
        <v>27</v>
      </c>
      <c r="B31" s="48">
        <f>Grundlon!B30*'H2.Aktuel år'!$B$3</f>
        <v>3646.7142400000143</v>
      </c>
      <c r="C31" s="48">
        <f>Grundlon!C30*'H2.Aktuel år'!$B$3</f>
        <v>3709.3062400000144</v>
      </c>
      <c r="D31" s="48">
        <f>Grundlon!D30*'H2.Aktuel år'!$B$3</f>
        <v>3752.6772800000149</v>
      </c>
      <c r="E31" s="48">
        <f>Grundlon!E30*'H2.Aktuel år'!$B$3</f>
        <v>3815.2823200000153</v>
      </c>
      <c r="F31" s="48">
        <f>Grundlon!F30*'H2.Aktuel år'!$B$3</f>
        <v>3858.6403200000154</v>
      </c>
      <c r="G31" s="48">
        <f>Grundlon!G30*'H2.Aktuel år'!$B$3</f>
        <v>3513.7570960000144</v>
      </c>
      <c r="H31" s="45">
        <f t="shared" si="0"/>
        <v>211</v>
      </c>
      <c r="I31">
        <f t="shared" si="1"/>
        <v>422</v>
      </c>
    </row>
    <row r="32" spans="1:11">
      <c r="A32">
        <v>28</v>
      </c>
      <c r="B32" s="48">
        <f>Grundlon!B31*'H2.Aktuel år'!$B$3</f>
        <v>3707.0503200000148</v>
      </c>
      <c r="C32" s="48">
        <f>Grundlon!C31*'H2.Aktuel år'!$B$3</f>
        <v>3767.0082400000147</v>
      </c>
      <c r="D32" s="48">
        <f>Grundlon!D31*'H2.Aktuel år'!$B$3</f>
        <v>3808.5145600000151</v>
      </c>
      <c r="E32" s="48">
        <f>Grundlon!E31*'H2.Aktuel år'!$B$3</f>
        <v>3868.4594400000151</v>
      </c>
      <c r="F32" s="48">
        <f>Grundlon!F31*'H2.Aktuel år'!$B$3</f>
        <v>3909.9788000000153</v>
      </c>
      <c r="G32" s="48">
        <f>Grundlon!G31*'H2.Aktuel år'!$B$3</f>
        <v>3579.7698792000137</v>
      </c>
      <c r="H32" s="45">
        <f t="shared" si="0"/>
        <v>215</v>
      </c>
      <c r="I32">
        <f t="shared" si="1"/>
        <v>430</v>
      </c>
    </row>
    <row r="33" spans="1:9">
      <c r="A33">
        <v>29</v>
      </c>
      <c r="B33" s="48">
        <f>Grundlon!B32*'H2.Aktuel år'!$B$3</f>
        <v>3768.7425600000147</v>
      </c>
      <c r="C33" s="48">
        <f>Grundlon!C32*'H2.Aktuel år'!$B$3</f>
        <v>3825.8577600000153</v>
      </c>
      <c r="D33" s="48">
        <f>Grundlon!D32*'H2.Aktuel år'!$B$3</f>
        <v>3865.4080800000152</v>
      </c>
      <c r="E33" s="48">
        <f>Grundlon!E32*'H2.Aktuel år'!$B$3</f>
        <v>3922.5232800000153</v>
      </c>
      <c r="F33" s="48">
        <f>Grundlon!F32*'H2.Aktuel år'!$B$3</f>
        <v>3962.0605600000158</v>
      </c>
      <c r="G33" s="48">
        <f>Grundlon!G32*'H2.Aktuel år'!$B$3</f>
        <v>3647.4834696000144</v>
      </c>
      <c r="H33" s="45">
        <f t="shared" si="0"/>
        <v>219</v>
      </c>
      <c r="I33">
        <f t="shared" si="1"/>
        <v>438</v>
      </c>
    </row>
    <row r="34" spans="1:9">
      <c r="A34">
        <v>30</v>
      </c>
      <c r="B34" s="48">
        <f>Grundlon!B33*'H2.Aktuel år'!$B$3</f>
        <v>3831.843120000015</v>
      </c>
      <c r="C34" s="48">
        <f>Grundlon!C33*'H2.Aktuel år'!$B$3</f>
        <v>3885.9330400000154</v>
      </c>
      <c r="D34" s="48">
        <f>Grundlon!D33*'H2.Aktuel år'!$B$3</f>
        <v>3923.3708800000154</v>
      </c>
      <c r="E34" s="48">
        <f>Grundlon!E33*'H2.Aktuel år'!$B$3</f>
        <v>3977.4347200000157</v>
      </c>
      <c r="F34" s="48">
        <f>Grundlon!F33*'H2.Aktuel år'!$B$3</f>
        <v>4014.885600000016</v>
      </c>
      <c r="G34" s="48">
        <f>Grundlon!G33*'H2.Aktuel år'!$B$3</f>
        <v>3716.9834096000145</v>
      </c>
      <c r="H34" s="45">
        <f t="shared" si="0"/>
        <v>223</v>
      </c>
      <c r="I34">
        <f t="shared" si="1"/>
        <v>446</v>
      </c>
    </row>
    <row r="35" spans="1:9">
      <c r="A35">
        <v>31</v>
      </c>
      <c r="B35" s="48">
        <f>Grundlon!B34*'H2.Aktuel år'!$B$3</f>
        <v>3896.2868000000153</v>
      </c>
      <c r="C35" s="48">
        <f>Grundlon!C34*'H2.Aktuel år'!$B$3</f>
        <v>3947.1558400000158</v>
      </c>
      <c r="D35" s="48">
        <f>Grundlon!D34*'H2.Aktuel år'!$B$3</f>
        <v>3982.3899200000155</v>
      </c>
      <c r="E35" s="48">
        <f>Grundlon!E34*'H2.Aktuel år'!$B$3</f>
        <v>4033.258960000016</v>
      </c>
      <c r="F35" s="48">
        <f>Grundlon!F34*'H2.Aktuel år'!$B$3</f>
        <v>4068.4800000000159</v>
      </c>
      <c r="G35" s="48">
        <f>Grundlon!G34*'H2.Aktuel år'!$B$3</f>
        <v>3788.2848256000152</v>
      </c>
      <c r="H35" s="45">
        <f t="shared" si="0"/>
        <v>228</v>
      </c>
      <c r="I35">
        <f t="shared" si="1"/>
        <v>456</v>
      </c>
    </row>
    <row r="36" spans="1:9">
      <c r="A36">
        <v>32</v>
      </c>
      <c r="B36" s="48">
        <f>Grundlon!B35*'H2.Aktuel år'!$B$3</f>
        <v>3962.2300800000157</v>
      </c>
      <c r="C36" s="48">
        <f>Grundlon!C35*'H2.Aktuel år'!$B$3</f>
        <v>4009.6696000000156</v>
      </c>
      <c r="D36" s="48">
        <f>Grundlon!D35*'H2.Aktuel år'!$B$3</f>
        <v>4042.5173600000162</v>
      </c>
      <c r="E36" s="48">
        <f>Grundlon!E35*'H2.Aktuel år'!$B$3</f>
        <v>4089.9829600000162</v>
      </c>
      <c r="F36" s="48">
        <f>Grundlon!F35*'H2.Aktuel år'!$B$3</f>
        <v>4122.8176800000165</v>
      </c>
      <c r="G36" s="48">
        <f>Grundlon!G35*'H2.Aktuel år'!$B$3</f>
        <v>3861.4727384000157</v>
      </c>
      <c r="H36" s="45">
        <f t="shared" si="0"/>
        <v>232</v>
      </c>
      <c r="I36">
        <f t="shared" si="1"/>
        <v>464</v>
      </c>
    </row>
    <row r="37" spans="1:9">
      <c r="A37">
        <v>33</v>
      </c>
      <c r="B37" s="48">
        <f>Grundlon!B36*'H2.Aktuel år'!$B$3</f>
        <v>4029.5686400000159</v>
      </c>
      <c r="C37" s="48">
        <f>Grundlon!C36*'H2.Aktuel år'!$B$3</f>
        <v>4073.3700000000163</v>
      </c>
      <c r="D37" s="48">
        <f>Grundlon!D36*'H2.Aktuel år'!$B$3</f>
        <v>4103.7271200000159</v>
      </c>
      <c r="E37" s="48">
        <f>Grundlon!E36*'H2.Aktuel år'!$B$3</f>
        <v>4147.5415200000161</v>
      </c>
      <c r="F37" s="48">
        <f>Grundlon!F36*'H2.Aktuel år'!$B$3</f>
        <v>4177.8856000000169</v>
      </c>
      <c r="G37" s="48">
        <f>Grundlon!G36*'H2.Aktuel år'!$B$3</f>
        <v>3936.5386720000156</v>
      </c>
      <c r="H37" s="45">
        <f t="shared" si="0"/>
        <v>236</v>
      </c>
      <c r="I37">
        <f t="shared" si="1"/>
        <v>472</v>
      </c>
    </row>
    <row r="38" spans="1:9">
      <c r="A38">
        <v>34</v>
      </c>
      <c r="B38" s="48">
        <f>Grundlon!B37*'H2.Aktuel år'!$B$3</f>
        <v>4098.4459200000165</v>
      </c>
      <c r="C38" s="48">
        <f>Grundlon!C37*'H2.Aktuel år'!$B$3</f>
        <v>4138.4135200000164</v>
      </c>
      <c r="D38" s="48">
        <f>Grundlon!D37*'H2.Aktuel år'!$B$3</f>
        <v>4166.0844000000161</v>
      </c>
      <c r="E38" s="48">
        <f>Grundlon!E37*'H2.Aktuel år'!$B$3</f>
        <v>4206.0259200000164</v>
      </c>
      <c r="F38" s="48">
        <f>Grundlon!F37*'H2.Aktuel år'!$B$3</f>
        <v>4233.696800000017</v>
      </c>
      <c r="G38" s="48">
        <f>Grundlon!G37*'H2.Aktuel år'!$B$3</f>
        <v>4013.5896848000157</v>
      </c>
      <c r="H38" s="45">
        <f t="shared" si="0"/>
        <v>241</v>
      </c>
      <c r="I38">
        <f t="shared" si="1"/>
        <v>482</v>
      </c>
    </row>
    <row r="39" spans="1:9">
      <c r="A39">
        <v>35</v>
      </c>
      <c r="B39" s="48">
        <f>Grundlon!B38*'H2.Aktuel år'!$B$3</f>
        <v>4168.8488800000168</v>
      </c>
      <c r="C39" s="48">
        <f>Grundlon!C38*'H2.Aktuel år'!$B$3</f>
        <v>4204.7480000000169</v>
      </c>
      <c r="D39" s="48">
        <f>Grundlon!D38*'H2.Aktuel år'!$B$3</f>
        <v>4229.5761600000169</v>
      </c>
      <c r="E39" s="48">
        <f>Grundlon!E38*'H2.Aktuel år'!$B$3</f>
        <v>4265.4752800000169</v>
      </c>
      <c r="F39" s="48">
        <f>Grundlon!F38*'H2.Aktuel år'!$B$3</f>
        <v>4290.303440000017</v>
      </c>
      <c r="G39" s="48">
        <f>Grundlon!G38*'H2.Aktuel år'!$B$3</f>
        <v>4092.6634624000162</v>
      </c>
      <c r="H39" s="45">
        <f t="shared" si="0"/>
        <v>246</v>
      </c>
      <c r="I39">
        <f t="shared" si="1"/>
        <v>492</v>
      </c>
    </row>
    <row r="40" spans="1:9">
      <c r="A40">
        <v>36</v>
      </c>
      <c r="B40" s="48">
        <f>Grundlon!B39*'H2.Aktuel år'!$B$3</f>
        <v>4240.7905600000167</v>
      </c>
      <c r="C40" s="48">
        <f>Grundlon!C39*'H2.Aktuel år'!$B$3</f>
        <v>4272.347360000017</v>
      </c>
      <c r="D40" s="48">
        <f>Grundlon!D39*'H2.Aktuel år'!$B$3</f>
        <v>4294.2024000000174</v>
      </c>
      <c r="E40" s="48">
        <f>Grundlon!E39*'H2.Aktuel år'!$B$3</f>
        <v>4325.7722400000175</v>
      </c>
      <c r="F40" s="48">
        <f>Grundlon!F39*'H2.Aktuel år'!$B$3</f>
        <v>4347.6142400000172</v>
      </c>
      <c r="G40" s="48">
        <f>Grundlon!G39*'H2.Aktuel år'!$B$3</f>
        <v>4173.7738272000161</v>
      </c>
      <c r="H40" s="45">
        <f t="shared" si="0"/>
        <v>251</v>
      </c>
      <c r="I40">
        <f t="shared" si="1"/>
        <v>502</v>
      </c>
    </row>
    <row r="41" spans="1:9">
      <c r="A41">
        <v>37</v>
      </c>
      <c r="B41" s="48">
        <f>Grundlon!B40*'H2.Aktuel år'!$B$3</f>
        <v>4314.3231200000173</v>
      </c>
      <c r="C41" s="48">
        <f>Grundlon!C40*'H2.Aktuel år'!$B$3</f>
        <v>4341.3159200000173</v>
      </c>
      <c r="D41" s="48">
        <f>Grundlon!D40*'H2.Aktuel år'!$B$3</f>
        <v>4359.9892000000173</v>
      </c>
      <c r="E41" s="48">
        <f>Grundlon!E40*'H2.Aktuel år'!$B$3</f>
        <v>4386.9820000000173</v>
      </c>
      <c r="F41" s="48">
        <f>Grundlon!F40*'H2.Aktuel år'!$B$3</f>
        <v>4405.6813600000178</v>
      </c>
      <c r="G41" s="48">
        <f>Grundlon!G40*'H2.Aktuel år'!$B$3</f>
        <v>4257.0037136000174</v>
      </c>
      <c r="H41" s="45">
        <f t="shared" si="0"/>
        <v>256</v>
      </c>
      <c r="I41">
        <f t="shared" si="1"/>
        <v>512</v>
      </c>
    </row>
    <row r="42" spans="1:9">
      <c r="A42">
        <v>38</v>
      </c>
      <c r="B42" s="48">
        <f>Grundlon!B41*'H2.Aktuel år'!$B$3</f>
        <v>4391.976320000017</v>
      </c>
      <c r="C42" s="48">
        <f>Grundlon!C41*'H2.Aktuel år'!$B$3</f>
        <v>4414.5616000000173</v>
      </c>
      <c r="D42" s="48">
        <f>Grundlon!D41*'H2.Aktuel år'!$B$3</f>
        <v>4430.1965600000176</v>
      </c>
      <c r="E42" s="48">
        <f>Grundlon!E41*'H2.Aktuel år'!$B$3</f>
        <v>4452.7818400000178</v>
      </c>
      <c r="F42" s="48">
        <f>Grundlon!F41*'H2.Aktuel år'!$B$3</f>
        <v>4468.4428800000178</v>
      </c>
      <c r="G42" s="48">
        <f>Grundlon!G41*'H2.Aktuel år'!$B$3</f>
        <v>4344.0005952000174</v>
      </c>
      <c r="H42" s="45">
        <f t="shared" si="0"/>
        <v>261</v>
      </c>
      <c r="I42">
        <f t="shared" si="1"/>
        <v>522</v>
      </c>
    </row>
    <row r="43" spans="1:9">
      <c r="A43">
        <v>39</v>
      </c>
      <c r="B43" s="48">
        <f>Grundlon!B42*'H2.Aktuel år'!$B$3</f>
        <v>4470.3858400000181</v>
      </c>
      <c r="C43" s="48">
        <f>Grundlon!C42*'H2.Aktuel år'!$B$3</f>
        <v>4487.7942400000175</v>
      </c>
      <c r="D43" s="48">
        <f>Grundlon!D42*'H2.Aktuel år'!$B$3</f>
        <v>4499.8432000000175</v>
      </c>
      <c r="E43" s="48">
        <f>Grundlon!E42*'H2.Aktuel år'!$B$3</f>
        <v>4517.2255200000182</v>
      </c>
      <c r="F43" s="48">
        <f>Grundlon!F42*'H2.Aktuel år'!$B$3</f>
        <v>4529.2744800000182</v>
      </c>
      <c r="G43" s="48">
        <f>Grundlon!G42*'H2.Aktuel år'!$B$3</f>
        <v>4433.4619064000171</v>
      </c>
      <c r="H43" s="45">
        <f t="shared" si="0"/>
        <v>266</v>
      </c>
      <c r="I43">
        <f t="shared" si="1"/>
        <v>532</v>
      </c>
    </row>
    <row r="44" spans="1:9">
      <c r="A44">
        <v>40</v>
      </c>
      <c r="B44" s="48">
        <f>Grundlon!B43*'H2.Aktuel år'!$B$3</f>
        <v>4550.516640000018</v>
      </c>
      <c r="C44" s="48">
        <f>Grundlon!C43*'H2.Aktuel år'!$B$3</f>
        <v>4562.4091200000184</v>
      </c>
      <c r="D44" s="48">
        <f>Grundlon!D43*'H2.Aktuel år'!$B$3</f>
        <v>4570.6504000000177</v>
      </c>
      <c r="E44" s="48">
        <f>Grundlon!E43*'H2.Aktuel år'!$B$3</f>
        <v>4582.5428800000182</v>
      </c>
      <c r="F44" s="48">
        <f>Grundlon!F43*'H2.Aktuel år'!$B$3</f>
        <v>4590.7841600000183</v>
      </c>
      <c r="G44" s="48">
        <f>Grundlon!G43*'H2.Aktuel år'!$B$3</f>
        <v>4525.2380784000179</v>
      </c>
      <c r="H44" s="45">
        <f t="shared" si="0"/>
        <v>272</v>
      </c>
      <c r="I44">
        <f t="shared" si="1"/>
        <v>544</v>
      </c>
    </row>
    <row r="45" spans="1:9">
      <c r="A45">
        <v>41</v>
      </c>
      <c r="B45" s="48">
        <f>Grundlon!B44*'H2.Aktuel år'!$B$3</f>
        <v>4632.3948000000182</v>
      </c>
      <c r="C45" s="48">
        <f>Grundlon!C44*'H2.Aktuel år'!$B$3</f>
        <v>4638.4844800000183</v>
      </c>
      <c r="D45" s="48">
        <f>Grundlon!D44*'H2.Aktuel år'!$B$3</f>
        <v>4642.7224800000185</v>
      </c>
      <c r="E45" s="48">
        <f>Grundlon!E44*'H2.Aktuel år'!$B$3</f>
        <v>4648.8252000000184</v>
      </c>
      <c r="F45" s="48">
        <f>Grundlon!F44*'H2.Aktuel år'!$B$3</f>
        <v>4653.0371200000181</v>
      </c>
      <c r="G45" s="48">
        <f>Grundlon!G44*'H2.Aktuel år'!$B$3</f>
        <v>4619.4099592000184</v>
      </c>
      <c r="H45" s="45">
        <f t="shared" si="0"/>
        <v>277</v>
      </c>
      <c r="I45">
        <f t="shared" si="1"/>
        <v>554</v>
      </c>
    </row>
    <row r="46" spans="1:9">
      <c r="A46">
        <v>42</v>
      </c>
      <c r="B46" s="48">
        <f>Grundlon!B45*'H2.Aktuel år'!$B$3</f>
        <v>4716.0464000000184</v>
      </c>
      <c r="C46" s="48">
        <f>Grundlon!C45*'H2.Aktuel år'!$B$3</f>
        <v>4716.0464000000184</v>
      </c>
      <c r="D46" s="48">
        <f>Grundlon!D45*'H2.Aktuel år'!$B$3</f>
        <v>4716.0464000000184</v>
      </c>
      <c r="E46" s="48">
        <f>Grundlon!E45*'H2.Aktuel år'!$B$3</f>
        <v>4716.0464000000184</v>
      </c>
      <c r="F46" s="48">
        <f>Grundlon!F45*'H2.Aktuel år'!$B$3</f>
        <v>4716.0464000000184</v>
      </c>
      <c r="G46" s="48">
        <f>Grundlon!G45*'H2.Aktuel år'!$B$3</f>
        <v>4716.0359680000192</v>
      </c>
      <c r="H46" s="45">
        <f t="shared" si="0"/>
        <v>283</v>
      </c>
      <c r="I46">
        <f t="shared" si="1"/>
        <v>566</v>
      </c>
    </row>
    <row r="47" spans="1:9">
      <c r="A47">
        <v>43</v>
      </c>
      <c r="B47" s="48">
        <f>Grundlon!B46*'H2.Aktuel år'!$B$3</f>
        <v>4820.7445600000192</v>
      </c>
      <c r="C47" s="48">
        <f>Grundlon!C46*'H2.Aktuel år'!$B$3</f>
        <v>4820.7445600000192</v>
      </c>
      <c r="D47" s="48">
        <f>Grundlon!D46*'H2.Aktuel år'!$B$3</f>
        <v>4820.7445600000192</v>
      </c>
      <c r="E47" s="48">
        <f>Grundlon!E46*'H2.Aktuel år'!$B$3</f>
        <v>4820.7445600000192</v>
      </c>
      <c r="F47" s="48">
        <f>Grundlon!F46*'H2.Aktuel år'!$B$3</f>
        <v>4820.7445600000192</v>
      </c>
      <c r="G47" s="48">
        <f>Grundlon!G46*'H2.Aktuel år'!$B$3</f>
        <v>4820.7384312000195</v>
      </c>
      <c r="H47" s="45">
        <f t="shared" si="0"/>
        <v>290</v>
      </c>
      <c r="I47">
        <f t="shared" si="1"/>
        <v>580</v>
      </c>
    </row>
    <row r="48" spans="1:9">
      <c r="A48">
        <v>44</v>
      </c>
      <c r="B48" s="48">
        <f>Grundlon!B47*'H2.Aktuel år'!$B$3</f>
        <v>4928.2984800000195</v>
      </c>
      <c r="C48" s="48">
        <f>Grundlon!C47*'H2.Aktuel år'!$B$3</f>
        <v>4928.2984800000195</v>
      </c>
      <c r="D48" s="48">
        <f>Grundlon!D47*'H2.Aktuel år'!$B$3</f>
        <v>4928.2984800000195</v>
      </c>
      <c r="E48" s="48">
        <f>Grundlon!E47*'H2.Aktuel år'!$B$3</f>
        <v>4928.2984800000195</v>
      </c>
      <c r="F48" s="48">
        <f>Grundlon!F47*'H2.Aktuel år'!$B$3</f>
        <v>4928.2984800000195</v>
      </c>
      <c r="G48" s="48">
        <f>Grundlon!G47*'H2.Aktuel år'!$B$3</f>
        <v>4928.3023920000196</v>
      </c>
      <c r="H48" s="45">
        <f t="shared" si="0"/>
        <v>296</v>
      </c>
      <c r="I48">
        <f t="shared" si="1"/>
        <v>592</v>
      </c>
    </row>
    <row r="49" spans="1:9">
      <c r="A49">
        <v>45</v>
      </c>
      <c r="B49" s="48">
        <f>Grundlon!B48*'H2.Aktuel år'!$B$3</f>
        <v>5038.8385600000202</v>
      </c>
      <c r="C49" s="48">
        <f>Grundlon!C48*'H2.Aktuel år'!$B$3</f>
        <v>5038.8385600000202</v>
      </c>
      <c r="D49" s="48">
        <f>Grundlon!D48*'H2.Aktuel år'!$B$3</f>
        <v>5038.8385600000202</v>
      </c>
      <c r="E49" s="48">
        <f>Grundlon!E48*'H2.Aktuel år'!$B$3</f>
        <v>5038.8385600000202</v>
      </c>
      <c r="F49" s="48">
        <f>Grundlon!F48*'H2.Aktuel år'!$B$3</f>
        <v>5038.8385600000202</v>
      </c>
      <c r="G49" s="48">
        <f>Grundlon!G48*'H2.Aktuel år'!$B$3</f>
        <v>5038.8423416000196</v>
      </c>
      <c r="H49" s="45">
        <f t="shared" si="0"/>
        <v>303</v>
      </c>
      <c r="I49">
        <f t="shared" si="1"/>
        <v>606</v>
      </c>
    </row>
    <row r="50" spans="1:9">
      <c r="A50">
        <v>46</v>
      </c>
      <c r="B50" s="48">
        <f>Grundlon!B49*'H2.Aktuel år'!$B$3</f>
        <v>5152.4300000000203</v>
      </c>
      <c r="C50" s="48">
        <f>Grundlon!C49*'H2.Aktuel år'!$B$3</f>
        <v>5152.4300000000203</v>
      </c>
      <c r="D50" s="48">
        <f>Grundlon!D49*'H2.Aktuel år'!$B$3</f>
        <v>5152.4300000000203</v>
      </c>
      <c r="E50" s="48">
        <f>Grundlon!E49*'H2.Aktuel år'!$B$3</f>
        <v>5152.4300000000203</v>
      </c>
      <c r="F50" s="48">
        <f>Grundlon!F49*'H2.Aktuel år'!$B$3</f>
        <v>5152.4300000000203</v>
      </c>
      <c r="G50" s="48">
        <f>Grundlon!G49*'H2.Aktuel år'!$B$3</f>
        <v>5152.4266096000201</v>
      </c>
      <c r="H50" s="45">
        <f t="shared" si="0"/>
        <v>310</v>
      </c>
      <c r="I50">
        <f t="shared" si="1"/>
        <v>620</v>
      </c>
    </row>
    <row r="51" spans="1:9">
      <c r="A51">
        <v>47</v>
      </c>
      <c r="B51" s="48">
        <f>Grundlon!B50*'H2.Aktuel år'!$B$3</f>
        <v>5389.0277600000209</v>
      </c>
      <c r="C51" s="48">
        <f>Grundlon!C50*'H2.Aktuel år'!$B$3</f>
        <v>5389.0277600000209</v>
      </c>
      <c r="D51" s="48">
        <f>Grundlon!D50*'H2.Aktuel år'!$B$3</f>
        <v>5389.0277600000209</v>
      </c>
      <c r="E51" s="48">
        <f>Grundlon!E50*'H2.Aktuel år'!$B$3</f>
        <v>5389.0277600000209</v>
      </c>
      <c r="F51" s="48">
        <f>Grundlon!F50*'H2.Aktuel år'!$B$3</f>
        <v>5389.0277600000209</v>
      </c>
      <c r="G51" s="48">
        <f>Grundlon!G50*'H2.Aktuel år'!$B$3</f>
        <v>5389.0260648000212</v>
      </c>
      <c r="H51" s="45">
        <f t="shared" si="0"/>
        <v>324</v>
      </c>
      <c r="I51">
        <f t="shared" si="1"/>
        <v>648</v>
      </c>
    </row>
    <row r="52" spans="1:9">
      <c r="A52">
        <v>48</v>
      </c>
      <c r="B52" s="48">
        <f>Grundlon!B51*'H2.Aktuel år'!$B$3</f>
        <v>5750.9920800000227</v>
      </c>
      <c r="C52" s="48">
        <f>Grundlon!C51*'H2.Aktuel år'!$B$3</f>
        <v>5750.9920800000227</v>
      </c>
      <c r="D52" s="48">
        <f>Grundlon!D51*'H2.Aktuel år'!$B$3</f>
        <v>5750.9920800000227</v>
      </c>
      <c r="E52" s="48">
        <f>Grundlon!E51*'H2.Aktuel år'!$B$3</f>
        <v>5750.9920800000227</v>
      </c>
      <c r="F52" s="48">
        <f>Grundlon!F51*'H2.Aktuel år'!$B$3</f>
        <v>5750.9920800000227</v>
      </c>
      <c r="G52" s="48">
        <f>Grundlon!G51*'H2.Aktuel år'!$B$3</f>
        <v>5750.9757800000225</v>
      </c>
      <c r="H52">
        <f t="shared" si="0"/>
        <v>345</v>
      </c>
      <c r="I52">
        <f t="shared" si="1"/>
        <v>690</v>
      </c>
    </row>
    <row r="53" spans="1:9">
      <c r="A53">
        <v>49</v>
      </c>
      <c r="B53" s="48">
        <f>Grundlon!B52*'H2.Aktuel år'!$B$3</f>
        <v>6152.0242400000243</v>
      </c>
      <c r="C53" s="48">
        <f>Grundlon!C52*'H2.Aktuel år'!$B$3</f>
        <v>6152.0242400000243</v>
      </c>
      <c r="D53" s="48">
        <f>Grundlon!D52*'H2.Aktuel år'!$B$3</f>
        <v>6152.0242400000243</v>
      </c>
      <c r="E53" s="48">
        <f>Grundlon!E52*'H2.Aktuel år'!$B$3</f>
        <v>6152.0242400000243</v>
      </c>
      <c r="F53" s="48">
        <f>Grundlon!F52*'H2.Aktuel år'!$B$3</f>
        <v>6152.0242400000243</v>
      </c>
      <c r="G53" s="48">
        <f>Grundlon!G52*'H2.Aktuel år'!$B$3</f>
        <v>6152.0229360000249</v>
      </c>
      <c r="H53">
        <f t="shared" si="0"/>
        <v>370</v>
      </c>
      <c r="I53">
        <f t="shared" si="1"/>
        <v>740</v>
      </c>
    </row>
    <row r="54" spans="1:9">
      <c r="A54">
        <v>50</v>
      </c>
      <c r="B54" s="48">
        <f>Grundlon!B53*'H2.Aktuel år'!$B$3</f>
        <v>6795.0657600000268</v>
      </c>
      <c r="C54" s="48">
        <f>Grundlon!C53*'H2.Aktuel år'!$B$3</f>
        <v>6795.0657600000268</v>
      </c>
      <c r="D54" s="48">
        <f>Grundlon!D53*'H2.Aktuel år'!$B$3</f>
        <v>6795.0657600000268</v>
      </c>
      <c r="E54" s="48">
        <f>Grundlon!E53*'H2.Aktuel år'!$B$3</f>
        <v>6795.0657600000268</v>
      </c>
      <c r="F54" s="48">
        <f>Grundlon!F53*'H2.Aktuel år'!$B$3</f>
        <v>6795.0657600000268</v>
      </c>
      <c r="G54" s="48">
        <f>Grundlon!G53*'H2.Aktuel år'!$B$3</f>
        <v>6795.0718888000265</v>
      </c>
      <c r="H54">
        <f t="shared" si="0"/>
        <v>408</v>
      </c>
      <c r="I54">
        <f t="shared" si="1"/>
        <v>816</v>
      </c>
    </row>
    <row r="55" spans="1:9">
      <c r="A55">
        <v>51</v>
      </c>
      <c r="B55" s="48">
        <f>Grundlon!B54*'H2.Aktuel år'!$B$3</f>
        <v>7731.5594400000309</v>
      </c>
      <c r="C55" s="48">
        <f>Grundlon!C54*'H2.Aktuel år'!$B$3</f>
        <v>7731.5594400000309</v>
      </c>
      <c r="D55" s="48">
        <f>Grundlon!D54*'H2.Aktuel år'!$B$3</f>
        <v>7731.5594400000309</v>
      </c>
      <c r="E55" s="48">
        <f>Grundlon!E54*'H2.Aktuel år'!$B$3</f>
        <v>7731.5594400000309</v>
      </c>
      <c r="F55" s="48">
        <f>Grundlon!F54*'H2.Aktuel år'!$B$3</f>
        <v>7731.5594400000309</v>
      </c>
      <c r="G55" s="48">
        <f>Grundlon!G54*'H2.Aktuel år'!$B$3</f>
        <v>7731.5718280000301</v>
      </c>
      <c r="H55">
        <f t="shared" si="0"/>
        <v>464</v>
      </c>
      <c r="I55">
        <f t="shared" si="1"/>
        <v>928</v>
      </c>
    </row>
    <row r="56" spans="1:9">
      <c r="A56">
        <v>52</v>
      </c>
      <c r="B56" s="48">
        <f>Grundlon!B55*'H2.Aktuel år'!$B$3</f>
        <v>8488.9487200000331</v>
      </c>
      <c r="C56" s="48">
        <f>Grundlon!C55*'H2.Aktuel år'!$B$3</f>
        <v>8488.9487200000331</v>
      </c>
      <c r="D56" s="48">
        <f>Grundlon!D55*'H2.Aktuel år'!$B$3</f>
        <v>8488.9487200000331</v>
      </c>
      <c r="E56" s="48">
        <f>Grundlon!E55*'H2.Aktuel år'!$B$3</f>
        <v>8488.9487200000331</v>
      </c>
      <c r="F56" s="48">
        <f>Grundlon!F55*'H2.Aktuel år'!$B$3</f>
        <v>8488.9487200000331</v>
      </c>
      <c r="G56" s="48">
        <f>Grundlon!G55*'H2.Aktuel år'!$B$3</f>
        <v>8488.9553704000336</v>
      </c>
      <c r="H56">
        <f t="shared" si="0"/>
        <v>510</v>
      </c>
      <c r="I56">
        <f t="shared" si="1"/>
        <v>1020</v>
      </c>
    </row>
    <row r="57" spans="1:9">
      <c r="A57">
        <v>53</v>
      </c>
      <c r="B57" s="48">
        <f>Grundlon!B56*'H2.Aktuel år'!$B$3</f>
        <v>9498.4403200000379</v>
      </c>
      <c r="C57" s="48">
        <f>Grundlon!C56*'H2.Aktuel år'!$B$3</f>
        <v>9498.4403200000379</v>
      </c>
      <c r="D57" s="48">
        <f>Grundlon!D56*'H2.Aktuel år'!$B$3</f>
        <v>9498.4403200000379</v>
      </c>
      <c r="E57" s="48">
        <f>Grundlon!E56*'H2.Aktuel år'!$B$3</f>
        <v>9498.4403200000379</v>
      </c>
      <c r="F57" s="48">
        <f>Grundlon!F56*'H2.Aktuel år'!$B$3</f>
        <v>9498.4403200000379</v>
      </c>
      <c r="G57" s="48">
        <f>Grundlon!G56*'H2.Aktuel år'!$B$3</f>
        <v>9498.4584456000375</v>
      </c>
      <c r="H57">
        <f t="shared" si="0"/>
        <v>571</v>
      </c>
      <c r="I57">
        <f t="shared" si="1"/>
        <v>1142</v>
      </c>
    </row>
    <row r="58" spans="1:9">
      <c r="A58">
        <v>54</v>
      </c>
      <c r="B58" s="48">
        <f>Grundlon!B57*'H2.Aktuel år'!$B$3</f>
        <v>10710.860400000043</v>
      </c>
      <c r="C58" s="48">
        <f>Grundlon!C57*'H2.Aktuel år'!$B$3</f>
        <v>10710.860400000043</v>
      </c>
      <c r="D58" s="48">
        <f>Grundlon!D57*'H2.Aktuel år'!$B$3</f>
        <v>10710.860400000043</v>
      </c>
      <c r="E58" s="48">
        <f>Grundlon!E57*'H2.Aktuel år'!$B$3</f>
        <v>10710.860400000043</v>
      </c>
      <c r="F58" s="48">
        <f>Grundlon!F57*'H2.Aktuel år'!$B$3</f>
        <v>10710.860400000043</v>
      </c>
      <c r="G58" s="48">
        <f>Grundlon!G57*'H2.Aktuel år'!$B$3</f>
        <v>10710.864442400043</v>
      </c>
      <c r="H58">
        <f t="shared" si="0"/>
        <v>643</v>
      </c>
      <c r="I58">
        <f t="shared" si="1"/>
        <v>1286</v>
      </c>
    </row>
    <row r="59" spans="1:9">
      <c r="A59">
        <v>55</v>
      </c>
      <c r="B59" s="48">
        <f>Grundlon!B58*'H2.Aktuel år'!$B$3</f>
        <v>12070.502080000047</v>
      </c>
      <c r="C59" s="48">
        <f>Grundlon!C58*'H2.Aktuel år'!$B$3</f>
        <v>12070.502080000047</v>
      </c>
      <c r="D59" s="48">
        <f>Grundlon!D58*'H2.Aktuel år'!$B$3</f>
        <v>12070.502080000047</v>
      </c>
      <c r="E59" s="48">
        <f>Grundlon!E58*'H2.Aktuel år'!$B$3</f>
        <v>12070.502080000047</v>
      </c>
      <c r="F59" s="48">
        <f>Grundlon!F58*'H2.Aktuel år'!$B$3</f>
        <v>12070.502080000047</v>
      </c>
      <c r="G59" s="48">
        <f>Grundlon!G58*'H2.Aktuel år'!$B$3</f>
        <v>12070.505470400049</v>
      </c>
      <c r="H59">
        <f t="shared" si="0"/>
        <v>725</v>
      </c>
      <c r="I59">
        <f t="shared" si="1"/>
        <v>1450</v>
      </c>
    </row>
    <row r="62" spans="1:9">
      <c r="A62" s="18" t="s">
        <v>120</v>
      </c>
      <c r="B62" s="20"/>
      <c r="D62" s="1"/>
    </row>
    <row r="63" spans="1:9">
      <c r="A63" s="20"/>
      <c r="B63" s="20"/>
      <c r="D63" s="1"/>
    </row>
  </sheetData>
  <mergeCells count="1">
    <mergeCell ref="B2:G2"/>
  </mergeCells>
  <phoneticPr fontId="55" type="noConversion"/>
  <hyperlinks>
    <hyperlink ref="A62" location="4Hovedskema!Print_Area" display="Tilbage til Hovedskemaet" xr:uid="{00000000-0004-0000-1400-000000000000}"/>
  </hyperlinks>
  <printOptions horizontalCentered="1" verticalCentered="1"/>
  <pageMargins left="0.78749999999999998" right="0.6694444444444444" top="0.98402777777777772" bottom="0.98402777777777772" header="0.51180555555555551" footer="0.51180555555555551"/>
  <headerFooter alignWithMargins="0">
    <oddHeader>&amp;C&amp;14Aktuel løntabel</oddHeader>
    <oddFooter>&amp;LFriskolernes Kontor&amp;CKursusmateriale 2008&amp;R                                                Bilag H2</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16"/>
  <sheetViews>
    <sheetView topLeftCell="A194" workbookViewId="0">
      <selection activeCell="C48" sqref="C48"/>
    </sheetView>
  </sheetViews>
  <sheetFormatPr baseColWidth="10" defaultColWidth="11.5" defaultRowHeight="13"/>
  <cols>
    <col min="1" max="3" width="10.83203125"/>
  </cols>
  <sheetData>
    <row r="1" spans="1:3">
      <c r="A1" s="368" t="s">
        <v>616</v>
      </c>
      <c r="B1" s="368" t="s">
        <v>724</v>
      </c>
      <c r="C1" s="368" t="s">
        <v>793</v>
      </c>
    </row>
    <row r="2" spans="1:3">
      <c r="A2" s="697">
        <v>101077</v>
      </c>
      <c r="B2" t="s">
        <v>725</v>
      </c>
      <c r="C2">
        <v>1</v>
      </c>
    </row>
    <row r="3" spans="1:3">
      <c r="A3" s="697">
        <v>101086</v>
      </c>
      <c r="B3" t="s">
        <v>725</v>
      </c>
      <c r="C3">
        <v>1</v>
      </c>
    </row>
    <row r="4" spans="1:3">
      <c r="A4" s="697">
        <v>101129</v>
      </c>
      <c r="B4" t="s">
        <v>725</v>
      </c>
      <c r="C4">
        <v>1</v>
      </c>
    </row>
    <row r="5" spans="1:3">
      <c r="A5" s="697">
        <v>101135</v>
      </c>
      <c r="B5" t="s">
        <v>725</v>
      </c>
      <c r="C5">
        <v>1</v>
      </c>
    </row>
    <row r="6" spans="1:3">
      <c r="A6" s="697">
        <v>101149</v>
      </c>
      <c r="B6" t="s">
        <v>725</v>
      </c>
      <c r="C6">
        <v>1</v>
      </c>
    </row>
    <row r="7" spans="1:3">
      <c r="A7" s="697">
        <v>101152</v>
      </c>
      <c r="B7" t="s">
        <v>725</v>
      </c>
      <c r="C7">
        <v>1</v>
      </c>
    </row>
    <row r="8" spans="1:3">
      <c r="A8" s="697">
        <v>101162</v>
      </c>
      <c r="B8" t="s">
        <v>725</v>
      </c>
      <c r="C8">
        <v>1</v>
      </c>
    </row>
    <row r="9" spans="1:3">
      <c r="A9" s="697">
        <v>101163</v>
      </c>
      <c r="B9" t="s">
        <v>725</v>
      </c>
      <c r="C9">
        <v>1</v>
      </c>
    </row>
    <row r="10" spans="1:3">
      <c r="A10" s="697">
        <v>101169</v>
      </c>
      <c r="B10" t="s">
        <v>725</v>
      </c>
      <c r="C10">
        <v>1</v>
      </c>
    </row>
    <row r="11" spans="1:3">
      <c r="A11" s="697">
        <v>101172</v>
      </c>
      <c r="B11" t="s">
        <v>725</v>
      </c>
      <c r="C11">
        <v>1</v>
      </c>
    </row>
    <row r="12" spans="1:3">
      <c r="A12" s="697">
        <v>101180</v>
      </c>
      <c r="B12" t="s">
        <v>725</v>
      </c>
      <c r="C12">
        <v>1</v>
      </c>
    </row>
    <row r="13" spans="1:3">
      <c r="A13" s="697">
        <v>101184</v>
      </c>
      <c r="B13" t="s">
        <v>725</v>
      </c>
      <c r="C13">
        <v>1</v>
      </c>
    </row>
    <row r="14" spans="1:3">
      <c r="A14" s="697">
        <v>101185</v>
      </c>
      <c r="B14" t="s">
        <v>725</v>
      </c>
      <c r="C14">
        <v>1</v>
      </c>
    </row>
    <row r="15" spans="1:3">
      <c r="A15" s="697">
        <v>101189</v>
      </c>
      <c r="B15" t="s">
        <v>725</v>
      </c>
      <c r="C15">
        <v>1</v>
      </c>
    </row>
    <row r="16" spans="1:3">
      <c r="A16" s="697">
        <v>101516</v>
      </c>
      <c r="B16" t="s">
        <v>725</v>
      </c>
      <c r="C16">
        <v>1</v>
      </c>
    </row>
    <row r="17" spans="1:3">
      <c r="A17" s="697">
        <v>101526</v>
      </c>
      <c r="B17" t="s">
        <v>725</v>
      </c>
      <c r="C17">
        <v>1</v>
      </c>
    </row>
    <row r="18" spans="1:3">
      <c r="A18" s="697">
        <v>101533</v>
      </c>
      <c r="B18" t="s">
        <v>725</v>
      </c>
      <c r="C18">
        <v>1</v>
      </c>
    </row>
    <row r="19" spans="1:3">
      <c r="A19" s="697">
        <v>101541</v>
      </c>
      <c r="B19" t="s">
        <v>725</v>
      </c>
      <c r="C19">
        <v>1</v>
      </c>
    </row>
    <row r="20" spans="1:3">
      <c r="A20" s="697">
        <v>101564</v>
      </c>
      <c r="B20" t="s">
        <v>725</v>
      </c>
      <c r="C20">
        <v>1</v>
      </c>
    </row>
    <row r="21" spans="1:3">
      <c r="A21" s="697">
        <v>101581</v>
      </c>
      <c r="B21" t="s">
        <v>725</v>
      </c>
      <c r="C21">
        <v>1</v>
      </c>
    </row>
    <row r="22" spans="1:3">
      <c r="A22" s="697">
        <v>101584</v>
      </c>
      <c r="B22" t="s">
        <v>725</v>
      </c>
      <c r="C22">
        <v>1</v>
      </c>
    </row>
    <row r="23" spans="1:3">
      <c r="A23" s="697">
        <v>101593</v>
      </c>
      <c r="B23" t="s">
        <v>725</v>
      </c>
      <c r="C23">
        <v>1</v>
      </c>
    </row>
    <row r="24" spans="1:3">
      <c r="A24" s="697">
        <v>147031</v>
      </c>
      <c r="B24" t="s">
        <v>725</v>
      </c>
      <c r="C24">
        <v>1</v>
      </c>
    </row>
    <row r="25" spans="1:3">
      <c r="A25" s="697">
        <v>151022</v>
      </c>
      <c r="B25" t="s">
        <v>725</v>
      </c>
      <c r="C25">
        <v>1</v>
      </c>
    </row>
    <row r="26" spans="1:3">
      <c r="A26" s="697">
        <v>157015</v>
      </c>
      <c r="B26" t="s">
        <v>725</v>
      </c>
      <c r="C26">
        <v>1</v>
      </c>
    </row>
    <row r="27" spans="1:3">
      <c r="A27" s="697">
        <v>157020</v>
      </c>
      <c r="B27" t="s">
        <v>725</v>
      </c>
      <c r="C27">
        <v>1</v>
      </c>
    </row>
    <row r="28" spans="1:3">
      <c r="A28" s="697">
        <v>159040</v>
      </c>
      <c r="B28" t="s">
        <v>725</v>
      </c>
      <c r="C28">
        <v>1</v>
      </c>
    </row>
    <row r="29" spans="1:3">
      <c r="A29" s="697">
        <v>181010</v>
      </c>
      <c r="B29" t="s">
        <v>725</v>
      </c>
      <c r="C29">
        <v>1</v>
      </c>
    </row>
    <row r="30" spans="1:3">
      <c r="A30" s="697">
        <v>217020</v>
      </c>
      <c r="B30" t="s">
        <v>725</v>
      </c>
      <c r="C30">
        <v>1</v>
      </c>
    </row>
    <row r="31" spans="1:3">
      <c r="A31" s="697">
        <v>217029</v>
      </c>
      <c r="B31" t="s">
        <v>725</v>
      </c>
      <c r="C31">
        <v>1</v>
      </c>
    </row>
    <row r="32" spans="1:3">
      <c r="A32" s="697">
        <v>219022</v>
      </c>
      <c r="B32" t="s">
        <v>725</v>
      </c>
      <c r="C32">
        <v>1</v>
      </c>
    </row>
    <row r="33" spans="1:3">
      <c r="A33" s="697">
        <v>280542</v>
      </c>
      <c r="B33" t="s">
        <v>725</v>
      </c>
      <c r="C33">
        <v>1</v>
      </c>
    </row>
    <row r="34" spans="1:3">
      <c r="A34" s="697">
        <v>280553</v>
      </c>
      <c r="B34" t="s">
        <v>725</v>
      </c>
      <c r="C34">
        <v>1</v>
      </c>
    </row>
    <row r="35" spans="1:3">
      <c r="A35" s="697">
        <v>400038</v>
      </c>
      <c r="B35" t="s">
        <v>725</v>
      </c>
      <c r="C35">
        <v>1</v>
      </c>
    </row>
    <row r="36" spans="1:3">
      <c r="A36" s="697">
        <v>280039</v>
      </c>
      <c r="B36" t="s">
        <v>725</v>
      </c>
      <c r="C36">
        <v>1</v>
      </c>
    </row>
    <row r="37" spans="1:3">
      <c r="A37" s="697">
        <v>259020</v>
      </c>
      <c r="B37" t="s">
        <v>725</v>
      </c>
      <c r="C37">
        <v>2</v>
      </c>
    </row>
    <row r="38" spans="1:3">
      <c r="A38" s="697">
        <v>263003</v>
      </c>
      <c r="B38" t="s">
        <v>725</v>
      </c>
      <c r="C38">
        <v>2</v>
      </c>
    </row>
    <row r="39" spans="1:3">
      <c r="A39" s="697">
        <v>265018</v>
      </c>
      <c r="B39" t="s">
        <v>725</v>
      </c>
      <c r="C39">
        <v>2</v>
      </c>
    </row>
    <row r="40" spans="1:3">
      <c r="A40" s="697">
        <v>265030</v>
      </c>
      <c r="B40" t="s">
        <v>725</v>
      </c>
      <c r="C40">
        <v>2</v>
      </c>
    </row>
    <row r="41" spans="1:3">
      <c r="A41" s="697">
        <v>280461</v>
      </c>
      <c r="B41" t="s">
        <v>725</v>
      </c>
      <c r="C41">
        <v>2</v>
      </c>
    </row>
    <row r="42" spans="1:3">
      <c r="A42" s="697">
        <v>280464</v>
      </c>
      <c r="B42" t="s">
        <v>725</v>
      </c>
      <c r="C42">
        <v>2</v>
      </c>
    </row>
    <row r="43" spans="1:3">
      <c r="A43" s="697">
        <v>305012</v>
      </c>
      <c r="B43" t="s">
        <v>725</v>
      </c>
      <c r="C43">
        <v>2</v>
      </c>
    </row>
    <row r="44" spans="1:3">
      <c r="A44" s="697">
        <v>305015</v>
      </c>
      <c r="B44" t="s">
        <v>725</v>
      </c>
      <c r="C44">
        <v>2</v>
      </c>
    </row>
    <row r="45" spans="1:3">
      <c r="A45" s="697">
        <v>319010</v>
      </c>
      <c r="B45" t="s">
        <v>725</v>
      </c>
      <c r="C45">
        <v>2</v>
      </c>
    </row>
    <row r="46" spans="1:3">
      <c r="A46" s="697">
        <v>323013</v>
      </c>
      <c r="B46" t="s">
        <v>725</v>
      </c>
      <c r="C46">
        <v>2</v>
      </c>
    </row>
    <row r="47" spans="1:3">
      <c r="A47" s="697">
        <v>325007</v>
      </c>
      <c r="B47" t="s">
        <v>725</v>
      </c>
      <c r="C47">
        <v>2</v>
      </c>
    </row>
    <row r="48" spans="1:3">
      <c r="A48" s="697">
        <v>325008</v>
      </c>
      <c r="B48" t="s">
        <v>725</v>
      </c>
      <c r="C48">
        <v>2</v>
      </c>
    </row>
    <row r="49" spans="1:3">
      <c r="A49" s="697">
        <v>329018</v>
      </c>
      <c r="B49" t="s">
        <v>725</v>
      </c>
      <c r="C49">
        <v>2</v>
      </c>
    </row>
    <row r="50" spans="1:3">
      <c r="A50" s="697">
        <v>329022</v>
      </c>
      <c r="B50" t="s">
        <v>725</v>
      </c>
      <c r="C50">
        <v>2</v>
      </c>
    </row>
    <row r="51" spans="1:3">
      <c r="A51" s="697">
        <v>331008</v>
      </c>
      <c r="B51" t="s">
        <v>725</v>
      </c>
      <c r="C51">
        <v>2</v>
      </c>
    </row>
    <row r="52" spans="1:3">
      <c r="A52" s="697">
        <v>333012</v>
      </c>
      <c r="B52" t="s">
        <v>725</v>
      </c>
      <c r="C52">
        <v>2</v>
      </c>
    </row>
    <row r="53" spans="1:3">
      <c r="A53" s="697">
        <v>333023</v>
      </c>
      <c r="B53" t="s">
        <v>725</v>
      </c>
      <c r="C53">
        <v>2</v>
      </c>
    </row>
    <row r="54" spans="1:3">
      <c r="A54" s="697">
        <v>345009</v>
      </c>
      <c r="B54" t="s">
        <v>725</v>
      </c>
      <c r="C54">
        <v>2</v>
      </c>
    </row>
    <row r="55" spans="1:3">
      <c r="A55" s="697">
        <v>361005</v>
      </c>
      <c r="B55" t="s">
        <v>725</v>
      </c>
      <c r="C55">
        <v>2</v>
      </c>
    </row>
    <row r="56" spans="1:3">
      <c r="A56" s="697">
        <v>365012</v>
      </c>
      <c r="B56" t="s">
        <v>725</v>
      </c>
      <c r="C56">
        <v>2</v>
      </c>
    </row>
    <row r="57" spans="1:3">
      <c r="A57" s="697">
        <v>370001</v>
      </c>
      <c r="B57" t="s">
        <v>725</v>
      </c>
      <c r="C57">
        <v>2</v>
      </c>
    </row>
    <row r="58" spans="1:3">
      <c r="A58" s="697">
        <v>375005</v>
      </c>
      <c r="B58" t="s">
        <v>725</v>
      </c>
      <c r="C58">
        <v>2</v>
      </c>
    </row>
    <row r="59" spans="1:3">
      <c r="A59" s="697">
        <v>385004</v>
      </c>
      <c r="B59" t="s">
        <v>725</v>
      </c>
      <c r="C59">
        <v>2</v>
      </c>
    </row>
    <row r="60" spans="1:3">
      <c r="A60" s="697">
        <v>389009</v>
      </c>
      <c r="B60" t="s">
        <v>725</v>
      </c>
      <c r="C60">
        <v>2</v>
      </c>
    </row>
    <row r="61" spans="1:3">
      <c r="A61" s="697">
        <v>397010</v>
      </c>
      <c r="B61" t="s">
        <v>725</v>
      </c>
      <c r="C61">
        <v>2</v>
      </c>
    </row>
    <row r="62" spans="1:3">
      <c r="A62" s="697">
        <v>397014</v>
      </c>
      <c r="B62" t="s">
        <v>725</v>
      </c>
      <c r="C62">
        <v>2</v>
      </c>
    </row>
    <row r="63" spans="1:3">
      <c r="A63" s="697">
        <v>265036</v>
      </c>
      <c r="B63" t="s">
        <v>725</v>
      </c>
      <c r="C63">
        <v>2</v>
      </c>
    </row>
    <row r="64" spans="1:3">
      <c r="A64" s="697">
        <v>269006</v>
      </c>
      <c r="B64" t="s">
        <v>725</v>
      </c>
      <c r="C64">
        <v>2</v>
      </c>
    </row>
    <row r="65" spans="1:3">
      <c r="A65" s="697">
        <v>280038</v>
      </c>
      <c r="B65" t="s">
        <v>725</v>
      </c>
      <c r="C65">
        <v>2</v>
      </c>
    </row>
    <row r="66" spans="1:3">
      <c r="A66" s="697">
        <v>280055</v>
      </c>
      <c r="B66" t="s">
        <v>725</v>
      </c>
      <c r="C66">
        <v>2</v>
      </c>
    </row>
    <row r="67" spans="1:3">
      <c r="A67" s="697">
        <v>280380</v>
      </c>
      <c r="B67" t="s">
        <v>725</v>
      </c>
      <c r="C67">
        <v>2</v>
      </c>
    </row>
    <row r="68" spans="1:3">
      <c r="A68" s="697">
        <v>280381</v>
      </c>
      <c r="B68" t="s">
        <v>725</v>
      </c>
      <c r="C68">
        <v>2</v>
      </c>
    </row>
    <row r="69" spans="1:3">
      <c r="A69" s="697">
        <v>280391</v>
      </c>
      <c r="B69" t="s">
        <v>725</v>
      </c>
      <c r="C69">
        <v>2</v>
      </c>
    </row>
    <row r="70" spans="1:3">
      <c r="A70" s="697">
        <v>280393</v>
      </c>
      <c r="B70" t="s">
        <v>725</v>
      </c>
      <c r="C70">
        <v>2</v>
      </c>
    </row>
    <row r="71" spans="1:3">
      <c r="A71" s="697">
        <v>280396</v>
      </c>
      <c r="B71" t="s">
        <v>725</v>
      </c>
      <c r="C71">
        <v>2</v>
      </c>
    </row>
    <row r="72" spans="1:3">
      <c r="A72" s="697">
        <v>280532</v>
      </c>
      <c r="B72" t="s">
        <v>725</v>
      </c>
      <c r="C72">
        <v>2</v>
      </c>
    </row>
    <row r="73" spans="1:3">
      <c r="A73" s="697">
        <v>280539</v>
      </c>
      <c r="B73" t="s">
        <v>725</v>
      </c>
      <c r="C73">
        <v>3</v>
      </c>
    </row>
    <row r="74" spans="1:3">
      <c r="A74" s="697">
        <v>280550</v>
      </c>
      <c r="B74" t="s">
        <v>725</v>
      </c>
      <c r="C74">
        <v>3</v>
      </c>
    </row>
    <row r="75" spans="1:3">
      <c r="A75" s="697">
        <v>427009</v>
      </c>
      <c r="B75" t="s">
        <v>725</v>
      </c>
      <c r="C75">
        <v>3</v>
      </c>
    </row>
    <row r="76" spans="1:3">
      <c r="A76" s="697">
        <v>427010</v>
      </c>
      <c r="B76" t="s">
        <v>725</v>
      </c>
      <c r="C76">
        <v>3</v>
      </c>
    </row>
    <row r="77" spans="1:3">
      <c r="A77" s="697">
        <v>431011</v>
      </c>
      <c r="B77" t="s">
        <v>725</v>
      </c>
      <c r="C77">
        <v>3</v>
      </c>
    </row>
    <row r="78" spans="1:3">
      <c r="A78" s="697">
        <v>431014</v>
      </c>
      <c r="B78" t="s">
        <v>725</v>
      </c>
      <c r="C78">
        <v>3</v>
      </c>
    </row>
    <row r="79" spans="1:3">
      <c r="A79" s="697">
        <v>433008</v>
      </c>
      <c r="B79" t="s">
        <v>725</v>
      </c>
      <c r="C79">
        <v>3</v>
      </c>
    </row>
    <row r="80" spans="1:3">
      <c r="A80" s="697">
        <v>435006</v>
      </c>
      <c r="B80" t="s">
        <v>725</v>
      </c>
      <c r="C80">
        <v>3</v>
      </c>
    </row>
    <row r="81" spans="1:3">
      <c r="A81" s="697">
        <v>437004</v>
      </c>
      <c r="B81" t="s">
        <v>725</v>
      </c>
      <c r="C81">
        <v>3</v>
      </c>
    </row>
    <row r="82" spans="1:3">
      <c r="A82" s="697">
        <v>439007</v>
      </c>
      <c r="B82" t="s">
        <v>725</v>
      </c>
      <c r="C82">
        <v>3</v>
      </c>
    </row>
    <row r="83" spans="1:3">
      <c r="A83" s="697">
        <v>445009</v>
      </c>
      <c r="B83" t="s">
        <v>725</v>
      </c>
      <c r="C83">
        <v>3</v>
      </c>
    </row>
    <row r="84" spans="1:3">
      <c r="A84" s="697">
        <v>445010</v>
      </c>
      <c r="B84" t="s">
        <v>725</v>
      </c>
      <c r="C84">
        <v>3</v>
      </c>
    </row>
    <row r="85" spans="1:3">
      <c r="A85" s="697">
        <v>461041</v>
      </c>
      <c r="B85" t="s">
        <v>725</v>
      </c>
      <c r="C85">
        <v>3</v>
      </c>
    </row>
    <row r="86" spans="1:3">
      <c r="A86" s="697">
        <v>461044</v>
      </c>
      <c r="B86" t="s">
        <v>725</v>
      </c>
      <c r="C86">
        <v>3</v>
      </c>
    </row>
    <row r="87" spans="1:3">
      <c r="A87" s="697">
        <v>461046</v>
      </c>
      <c r="B87" t="s">
        <v>725</v>
      </c>
      <c r="C87">
        <v>3</v>
      </c>
    </row>
    <row r="88" spans="1:3">
      <c r="A88" s="697">
        <v>461047</v>
      </c>
      <c r="B88" t="s">
        <v>725</v>
      </c>
      <c r="C88">
        <v>3</v>
      </c>
    </row>
    <row r="89" spans="1:3">
      <c r="A89" s="697">
        <v>461054</v>
      </c>
      <c r="B89" t="s">
        <v>725</v>
      </c>
      <c r="C89">
        <v>3</v>
      </c>
    </row>
    <row r="90" spans="1:3">
      <c r="A90" s="697">
        <v>461070</v>
      </c>
      <c r="B90" t="s">
        <v>725</v>
      </c>
      <c r="C90">
        <v>3</v>
      </c>
    </row>
    <row r="91" spans="1:3">
      <c r="A91" s="697">
        <v>461078</v>
      </c>
      <c r="B91" t="s">
        <v>725</v>
      </c>
      <c r="C91">
        <v>3</v>
      </c>
    </row>
    <row r="92" spans="1:3">
      <c r="A92" s="697">
        <v>461079</v>
      </c>
      <c r="B92" t="s">
        <v>725</v>
      </c>
      <c r="C92">
        <v>3</v>
      </c>
    </row>
    <row r="93" spans="1:3">
      <c r="A93" s="697">
        <v>461109</v>
      </c>
      <c r="B93" t="s">
        <v>725</v>
      </c>
      <c r="C93">
        <v>3</v>
      </c>
    </row>
    <row r="94" spans="1:3">
      <c r="A94" s="697">
        <v>473015</v>
      </c>
      <c r="B94" t="s">
        <v>725</v>
      </c>
      <c r="C94">
        <v>3</v>
      </c>
    </row>
    <row r="95" spans="1:3">
      <c r="A95" s="697">
        <v>473022</v>
      </c>
      <c r="B95" t="s">
        <v>725</v>
      </c>
      <c r="C95">
        <v>3</v>
      </c>
    </row>
    <row r="96" spans="1:3">
      <c r="A96" s="697">
        <v>475004</v>
      </c>
      <c r="B96" t="s">
        <v>725</v>
      </c>
      <c r="C96">
        <v>3</v>
      </c>
    </row>
    <row r="97" spans="1:3">
      <c r="A97" s="697">
        <v>477004</v>
      </c>
      <c r="B97" t="s">
        <v>725</v>
      </c>
      <c r="C97">
        <v>3</v>
      </c>
    </row>
    <row r="98" spans="1:3">
      <c r="A98" s="697">
        <v>477005</v>
      </c>
      <c r="B98" t="s">
        <v>725</v>
      </c>
      <c r="C98">
        <v>3</v>
      </c>
    </row>
    <row r="99" spans="1:3">
      <c r="A99" s="697">
        <v>477006</v>
      </c>
      <c r="B99" t="s">
        <v>725</v>
      </c>
      <c r="C99">
        <v>3</v>
      </c>
    </row>
    <row r="100" spans="1:3">
      <c r="A100" s="697">
        <v>479016</v>
      </c>
      <c r="B100" t="s">
        <v>725</v>
      </c>
      <c r="C100">
        <v>3</v>
      </c>
    </row>
    <row r="101" spans="1:3">
      <c r="A101" s="697">
        <v>492001</v>
      </c>
      <c r="B101" t="s">
        <v>725</v>
      </c>
      <c r="C101">
        <v>3</v>
      </c>
    </row>
    <row r="102" spans="1:3">
      <c r="A102" s="697">
        <v>495006</v>
      </c>
      <c r="B102" t="s">
        <v>725</v>
      </c>
      <c r="C102">
        <v>3</v>
      </c>
    </row>
    <row r="103" spans="1:3">
      <c r="A103" s="697">
        <v>495007</v>
      </c>
      <c r="B103" t="s">
        <v>725</v>
      </c>
      <c r="C103">
        <v>3</v>
      </c>
    </row>
    <row r="104" spans="1:3">
      <c r="A104" s="697">
        <v>497005</v>
      </c>
      <c r="B104" t="s">
        <v>725</v>
      </c>
      <c r="C104">
        <v>3</v>
      </c>
    </row>
    <row r="105" spans="1:3">
      <c r="A105" s="697">
        <v>497006</v>
      </c>
      <c r="B105" t="s">
        <v>725</v>
      </c>
      <c r="C105">
        <v>3</v>
      </c>
    </row>
    <row r="106" spans="1:3">
      <c r="A106" s="697">
        <v>499005</v>
      </c>
      <c r="B106" t="s">
        <v>725</v>
      </c>
      <c r="C106">
        <v>3</v>
      </c>
    </row>
    <row r="107" spans="1:3">
      <c r="A107" s="697">
        <v>280216</v>
      </c>
      <c r="B107" t="s">
        <v>725</v>
      </c>
      <c r="C107">
        <v>3</v>
      </c>
    </row>
    <row r="108" spans="1:3">
      <c r="A108" s="697">
        <v>280226</v>
      </c>
      <c r="B108" t="s">
        <v>725</v>
      </c>
      <c r="C108">
        <v>3</v>
      </c>
    </row>
    <row r="109" spans="1:3">
      <c r="A109" s="697">
        <v>280463</v>
      </c>
      <c r="B109" t="s">
        <v>725</v>
      </c>
      <c r="C109">
        <v>4</v>
      </c>
    </row>
    <row r="110" spans="1:3">
      <c r="A110" s="697">
        <v>280465</v>
      </c>
      <c r="B110" t="s">
        <v>725</v>
      </c>
      <c r="C110">
        <v>4</v>
      </c>
    </row>
    <row r="111" spans="1:3">
      <c r="A111" s="697">
        <v>280466</v>
      </c>
      <c r="B111" t="s">
        <v>725</v>
      </c>
      <c r="C111">
        <v>4</v>
      </c>
    </row>
    <row r="112" spans="1:3">
      <c r="A112" s="697">
        <v>280474</v>
      </c>
      <c r="B112" t="s">
        <v>725</v>
      </c>
      <c r="C112">
        <v>4</v>
      </c>
    </row>
    <row r="113" spans="1:3">
      <c r="A113" s="697">
        <v>501003</v>
      </c>
      <c r="B113" t="s">
        <v>725</v>
      </c>
      <c r="C113">
        <v>4</v>
      </c>
    </row>
    <row r="114" spans="1:3">
      <c r="A114" s="697">
        <v>510006</v>
      </c>
      <c r="B114" t="s">
        <v>725</v>
      </c>
      <c r="C114">
        <v>4</v>
      </c>
    </row>
    <row r="115" spans="1:3">
      <c r="A115" s="697">
        <v>513008</v>
      </c>
      <c r="B115" t="s">
        <v>725</v>
      </c>
      <c r="C115">
        <v>4</v>
      </c>
    </row>
    <row r="116" spans="1:3">
      <c r="A116" s="697">
        <v>519008</v>
      </c>
      <c r="B116" t="s">
        <v>725</v>
      </c>
      <c r="C116">
        <v>4</v>
      </c>
    </row>
    <row r="117" spans="1:3">
      <c r="A117" s="697">
        <v>521011</v>
      </c>
      <c r="B117" t="s">
        <v>725</v>
      </c>
      <c r="C117">
        <v>4</v>
      </c>
    </row>
    <row r="118" spans="1:3">
      <c r="A118" s="697">
        <v>523012</v>
      </c>
      <c r="B118" t="s">
        <v>725</v>
      </c>
      <c r="C118">
        <v>4</v>
      </c>
    </row>
    <row r="119" spans="1:3">
      <c r="A119" s="697">
        <v>523013</v>
      </c>
      <c r="B119" t="s">
        <v>725</v>
      </c>
      <c r="C119">
        <v>4</v>
      </c>
    </row>
    <row r="120" spans="1:3">
      <c r="A120" s="697">
        <v>527008</v>
      </c>
      <c r="B120" t="s">
        <v>725</v>
      </c>
      <c r="C120">
        <v>4</v>
      </c>
    </row>
    <row r="121" spans="1:3">
      <c r="A121" s="697">
        <v>533005</v>
      </c>
      <c r="B121" t="s">
        <v>725</v>
      </c>
      <c r="C121">
        <v>4</v>
      </c>
    </row>
    <row r="122" spans="1:3">
      <c r="A122" s="697">
        <v>535007</v>
      </c>
      <c r="B122" t="s">
        <v>725</v>
      </c>
      <c r="C122">
        <v>4</v>
      </c>
    </row>
    <row r="123" spans="1:3">
      <c r="A123" s="697">
        <v>545011</v>
      </c>
      <c r="B123" t="s">
        <v>725</v>
      </c>
      <c r="C123">
        <v>4</v>
      </c>
    </row>
    <row r="124" spans="1:3">
      <c r="A124" s="697">
        <v>550001</v>
      </c>
      <c r="B124" t="s">
        <v>725</v>
      </c>
      <c r="C124">
        <v>4</v>
      </c>
    </row>
    <row r="125" spans="1:3">
      <c r="A125" s="697">
        <v>553009</v>
      </c>
      <c r="B125" t="s">
        <v>725</v>
      </c>
      <c r="C125">
        <v>4</v>
      </c>
    </row>
    <row r="126" spans="1:3">
      <c r="A126" s="697">
        <v>553010</v>
      </c>
      <c r="B126" t="s">
        <v>725</v>
      </c>
      <c r="C126">
        <v>4</v>
      </c>
    </row>
    <row r="127" spans="1:3">
      <c r="A127" s="697">
        <v>557007</v>
      </c>
      <c r="B127" t="s">
        <v>725</v>
      </c>
      <c r="C127">
        <v>4</v>
      </c>
    </row>
    <row r="128" spans="1:3">
      <c r="A128" s="697">
        <v>559007</v>
      </c>
      <c r="B128" t="s">
        <v>725</v>
      </c>
      <c r="C128">
        <v>4</v>
      </c>
    </row>
    <row r="129" spans="1:3">
      <c r="A129" s="697">
        <v>573012</v>
      </c>
      <c r="B129" t="s">
        <v>725</v>
      </c>
      <c r="C129">
        <v>4</v>
      </c>
    </row>
    <row r="130" spans="1:3">
      <c r="A130" s="697">
        <v>575013</v>
      </c>
      <c r="B130" t="s">
        <v>725</v>
      </c>
      <c r="C130">
        <v>4</v>
      </c>
    </row>
    <row r="131" spans="1:3">
      <c r="A131" s="697">
        <v>607022</v>
      </c>
      <c r="B131" t="s">
        <v>725</v>
      </c>
      <c r="C131">
        <v>4</v>
      </c>
    </row>
    <row r="132" spans="1:3">
      <c r="A132" s="697">
        <v>611011</v>
      </c>
      <c r="B132" t="s">
        <v>725</v>
      </c>
      <c r="C132">
        <v>4</v>
      </c>
    </row>
    <row r="133" spans="1:3">
      <c r="A133" s="697">
        <v>611013</v>
      </c>
      <c r="B133" t="s">
        <v>725</v>
      </c>
      <c r="C133">
        <v>4</v>
      </c>
    </row>
    <row r="134" spans="1:3">
      <c r="A134" s="697">
        <v>621024</v>
      </c>
      <c r="B134" t="s">
        <v>725</v>
      </c>
      <c r="C134">
        <v>4</v>
      </c>
    </row>
    <row r="135" spans="1:3">
      <c r="A135" s="697">
        <v>627008</v>
      </c>
      <c r="B135" t="s">
        <v>725</v>
      </c>
      <c r="C135">
        <v>4</v>
      </c>
    </row>
    <row r="136" spans="1:3">
      <c r="A136" s="697">
        <v>631023</v>
      </c>
      <c r="B136" t="s">
        <v>725</v>
      </c>
      <c r="C136">
        <v>4</v>
      </c>
    </row>
    <row r="137" spans="1:3">
      <c r="A137" s="697">
        <v>631024</v>
      </c>
      <c r="B137" t="s">
        <v>725</v>
      </c>
      <c r="C137">
        <v>4</v>
      </c>
    </row>
    <row r="138" spans="1:3">
      <c r="A138" s="697">
        <v>280208</v>
      </c>
      <c r="B138" t="s">
        <v>725</v>
      </c>
      <c r="C138">
        <v>4</v>
      </c>
    </row>
    <row r="139" spans="1:3">
      <c r="A139" s="697">
        <v>280218</v>
      </c>
      <c r="B139" t="s">
        <v>725</v>
      </c>
      <c r="C139">
        <v>4</v>
      </c>
    </row>
    <row r="140" spans="1:3">
      <c r="A140" s="697">
        <v>280382</v>
      </c>
      <c r="B140" t="s">
        <v>725</v>
      </c>
      <c r="C140">
        <v>4</v>
      </c>
    </row>
    <row r="141" spans="1:3">
      <c r="A141" s="697">
        <v>280385</v>
      </c>
      <c r="B141" t="s">
        <v>725</v>
      </c>
      <c r="C141">
        <v>4</v>
      </c>
    </row>
    <row r="142" spans="1:3">
      <c r="A142" s="697">
        <v>280386</v>
      </c>
      <c r="B142" t="s">
        <v>725</v>
      </c>
      <c r="C142">
        <v>4</v>
      </c>
    </row>
    <row r="143" spans="1:3">
      <c r="A143" s="697">
        <v>280387</v>
      </c>
      <c r="B143" t="s">
        <v>725</v>
      </c>
      <c r="C143">
        <v>4</v>
      </c>
    </row>
    <row r="144" spans="1:3">
      <c r="A144" s="697">
        <v>280405</v>
      </c>
      <c r="B144" t="s">
        <v>725</v>
      </c>
      <c r="C144">
        <v>5</v>
      </c>
    </row>
    <row r="145" spans="1:3">
      <c r="A145" s="697">
        <v>280534</v>
      </c>
      <c r="B145" t="s">
        <v>725</v>
      </c>
      <c r="C145">
        <v>5</v>
      </c>
    </row>
    <row r="146" spans="1:3">
      <c r="A146" s="697">
        <v>280549</v>
      </c>
      <c r="B146" t="s">
        <v>725</v>
      </c>
      <c r="C146">
        <v>5</v>
      </c>
    </row>
    <row r="147" spans="1:3">
      <c r="A147" s="697">
        <v>601008</v>
      </c>
      <c r="B147" t="s">
        <v>725</v>
      </c>
      <c r="C147">
        <v>5</v>
      </c>
    </row>
    <row r="148" spans="1:3">
      <c r="A148" s="697">
        <v>601009</v>
      </c>
      <c r="B148" t="s">
        <v>725</v>
      </c>
      <c r="C148">
        <v>5</v>
      </c>
    </row>
    <row r="149" spans="1:3">
      <c r="A149" s="697">
        <v>609005</v>
      </c>
      <c r="B149" t="s">
        <v>725</v>
      </c>
      <c r="C149">
        <v>5</v>
      </c>
    </row>
    <row r="150" spans="1:3">
      <c r="A150" s="697">
        <v>619017</v>
      </c>
      <c r="B150" t="s">
        <v>725</v>
      </c>
      <c r="C150">
        <v>5</v>
      </c>
    </row>
    <row r="151" spans="1:3">
      <c r="A151" s="697">
        <v>625005</v>
      </c>
      <c r="B151" t="s">
        <v>725</v>
      </c>
      <c r="C151">
        <v>5</v>
      </c>
    </row>
    <row r="152" spans="1:3">
      <c r="A152" s="697">
        <v>625006</v>
      </c>
      <c r="B152" t="s">
        <v>725</v>
      </c>
      <c r="C152">
        <v>5</v>
      </c>
    </row>
    <row r="153" spans="1:3">
      <c r="A153" s="697">
        <v>625007</v>
      </c>
      <c r="B153" t="s">
        <v>725</v>
      </c>
      <c r="C153">
        <v>5</v>
      </c>
    </row>
    <row r="154" spans="1:3">
      <c r="A154" s="697">
        <v>653006</v>
      </c>
      <c r="B154" t="s">
        <v>725</v>
      </c>
      <c r="C154">
        <v>5</v>
      </c>
    </row>
    <row r="155" spans="1:3">
      <c r="A155" s="697">
        <v>655012</v>
      </c>
      <c r="B155" t="s">
        <v>725</v>
      </c>
      <c r="C155">
        <v>5</v>
      </c>
    </row>
    <row r="156" spans="1:3">
      <c r="A156" s="697">
        <v>655013</v>
      </c>
      <c r="B156" t="s">
        <v>725</v>
      </c>
      <c r="C156">
        <v>5</v>
      </c>
    </row>
    <row r="157" spans="1:3">
      <c r="A157" s="697">
        <v>657025</v>
      </c>
      <c r="B157" t="s">
        <v>725</v>
      </c>
      <c r="C157">
        <v>5</v>
      </c>
    </row>
    <row r="158" spans="1:3">
      <c r="A158" s="697">
        <v>657036</v>
      </c>
      <c r="B158" t="s">
        <v>725</v>
      </c>
      <c r="C158">
        <v>5</v>
      </c>
    </row>
    <row r="159" spans="1:3">
      <c r="A159" s="697">
        <v>657042</v>
      </c>
      <c r="B159" t="s">
        <v>725</v>
      </c>
      <c r="C159">
        <v>5</v>
      </c>
    </row>
    <row r="160" spans="1:3">
      <c r="A160" s="697">
        <v>661018</v>
      </c>
      <c r="B160" t="s">
        <v>725</v>
      </c>
      <c r="C160">
        <v>5</v>
      </c>
    </row>
    <row r="161" spans="1:3">
      <c r="A161" s="697">
        <v>661020</v>
      </c>
      <c r="B161" t="s">
        <v>725</v>
      </c>
      <c r="C161">
        <v>5</v>
      </c>
    </row>
    <row r="162" spans="1:3">
      <c r="A162" s="697">
        <v>665014</v>
      </c>
      <c r="B162" t="s">
        <v>725</v>
      </c>
      <c r="C162">
        <v>5</v>
      </c>
    </row>
    <row r="163" spans="1:3">
      <c r="A163" s="697">
        <v>665016</v>
      </c>
      <c r="B163" t="s">
        <v>725</v>
      </c>
      <c r="C163">
        <v>5</v>
      </c>
    </row>
    <row r="164" spans="1:3">
      <c r="A164" s="697">
        <v>665024</v>
      </c>
      <c r="B164" t="s">
        <v>725</v>
      </c>
      <c r="C164">
        <v>5</v>
      </c>
    </row>
    <row r="165" spans="1:3">
      <c r="A165" s="697">
        <v>667018</v>
      </c>
      <c r="B165" t="s">
        <v>725</v>
      </c>
      <c r="C165">
        <v>5</v>
      </c>
    </row>
    <row r="166" spans="1:3">
      <c r="A166" s="697">
        <v>667019</v>
      </c>
      <c r="B166" t="s">
        <v>725</v>
      </c>
      <c r="C166">
        <v>5</v>
      </c>
    </row>
    <row r="167" spans="1:3">
      <c r="A167" s="697">
        <v>667021</v>
      </c>
      <c r="B167" t="s">
        <v>725</v>
      </c>
      <c r="C167">
        <v>5</v>
      </c>
    </row>
    <row r="168" spans="1:3">
      <c r="A168" s="697">
        <v>671011</v>
      </c>
      <c r="B168" t="s">
        <v>725</v>
      </c>
      <c r="C168">
        <v>5</v>
      </c>
    </row>
    <row r="169" spans="1:3">
      <c r="A169" s="697">
        <v>671013</v>
      </c>
      <c r="B169" t="s">
        <v>725</v>
      </c>
      <c r="C169">
        <v>5</v>
      </c>
    </row>
    <row r="170" spans="1:3">
      <c r="A170" s="697">
        <v>675006</v>
      </c>
      <c r="B170" t="s">
        <v>725</v>
      </c>
      <c r="C170">
        <v>5</v>
      </c>
    </row>
    <row r="171" spans="1:3">
      <c r="A171" s="697">
        <v>683009</v>
      </c>
      <c r="B171" t="s">
        <v>725</v>
      </c>
      <c r="C171">
        <v>5</v>
      </c>
    </row>
    <row r="172" spans="1:3">
      <c r="A172" s="697">
        <v>703007</v>
      </c>
      <c r="B172" t="s">
        <v>725</v>
      </c>
      <c r="C172">
        <v>5</v>
      </c>
    </row>
    <row r="173" spans="1:3">
      <c r="A173" s="697">
        <v>710003</v>
      </c>
      <c r="B173" t="s">
        <v>725</v>
      </c>
      <c r="C173">
        <v>5</v>
      </c>
    </row>
    <row r="174" spans="1:3">
      <c r="A174" s="697">
        <v>711005</v>
      </c>
      <c r="B174" t="s">
        <v>725</v>
      </c>
      <c r="C174">
        <v>5</v>
      </c>
    </row>
    <row r="175" spans="1:3">
      <c r="A175" s="697">
        <v>713005</v>
      </c>
      <c r="B175" t="s">
        <v>725</v>
      </c>
      <c r="C175">
        <v>5</v>
      </c>
    </row>
    <row r="176" spans="1:3">
      <c r="A176" s="697">
        <v>725010</v>
      </c>
      <c r="B176" t="s">
        <v>725</v>
      </c>
      <c r="C176">
        <v>5</v>
      </c>
    </row>
    <row r="177" spans="1:3">
      <c r="A177" s="697">
        <v>727013</v>
      </c>
      <c r="B177" t="s">
        <v>725</v>
      </c>
      <c r="C177">
        <v>5</v>
      </c>
    </row>
    <row r="178" spans="1:3">
      <c r="A178" s="697">
        <v>729006</v>
      </c>
      <c r="B178" t="s">
        <v>725</v>
      </c>
      <c r="C178">
        <v>5</v>
      </c>
    </row>
    <row r="179" spans="1:3">
      <c r="A179" s="697">
        <v>741005</v>
      </c>
      <c r="B179" t="s">
        <v>725</v>
      </c>
      <c r="C179">
        <v>5</v>
      </c>
    </row>
    <row r="180" spans="1:3">
      <c r="A180" s="697">
        <v>743026</v>
      </c>
      <c r="B180" t="s">
        <v>725</v>
      </c>
      <c r="C180">
        <v>5</v>
      </c>
    </row>
    <row r="181" spans="1:3">
      <c r="A181" s="697">
        <v>743031</v>
      </c>
      <c r="B181" t="s">
        <v>725</v>
      </c>
      <c r="C181">
        <v>5</v>
      </c>
    </row>
    <row r="182" spans="1:3">
      <c r="A182" s="697">
        <v>745008</v>
      </c>
      <c r="B182" t="s">
        <v>725</v>
      </c>
      <c r="C182">
        <v>5</v>
      </c>
    </row>
    <row r="183" spans="1:3">
      <c r="A183" s="697">
        <v>751062</v>
      </c>
      <c r="B183" t="s">
        <v>725</v>
      </c>
      <c r="C183">
        <v>5</v>
      </c>
    </row>
    <row r="184" spans="1:3">
      <c r="A184" s="697">
        <v>751092</v>
      </c>
      <c r="B184" t="s">
        <v>725</v>
      </c>
      <c r="C184">
        <v>5</v>
      </c>
    </row>
    <row r="185" spans="1:3">
      <c r="A185" s="697">
        <v>751094</v>
      </c>
      <c r="B185" t="s">
        <v>725</v>
      </c>
      <c r="C185">
        <v>5</v>
      </c>
    </row>
    <row r="186" spans="1:3">
      <c r="A186" s="697">
        <v>751098</v>
      </c>
      <c r="B186" t="s">
        <v>725</v>
      </c>
      <c r="C186">
        <v>5</v>
      </c>
    </row>
    <row r="187" spans="1:3">
      <c r="A187" s="697">
        <v>751111</v>
      </c>
      <c r="B187" t="s">
        <v>725</v>
      </c>
      <c r="C187">
        <v>5</v>
      </c>
    </row>
    <row r="188" spans="1:3">
      <c r="A188" s="697">
        <v>760003</v>
      </c>
      <c r="B188" t="s">
        <v>725</v>
      </c>
      <c r="C188">
        <v>5</v>
      </c>
    </row>
    <row r="189" spans="1:3">
      <c r="A189" s="697">
        <v>760004</v>
      </c>
      <c r="B189" t="s">
        <v>725</v>
      </c>
      <c r="C189">
        <v>5</v>
      </c>
    </row>
    <row r="190" spans="1:3">
      <c r="A190" s="697">
        <v>760005</v>
      </c>
      <c r="B190" t="s">
        <v>725</v>
      </c>
      <c r="C190">
        <v>5</v>
      </c>
    </row>
    <row r="191" spans="1:3">
      <c r="A191" s="697">
        <v>761011</v>
      </c>
      <c r="B191" t="s">
        <v>725</v>
      </c>
      <c r="C191">
        <v>5</v>
      </c>
    </row>
    <row r="192" spans="1:3">
      <c r="A192" s="697">
        <v>761015</v>
      </c>
      <c r="B192" t="s">
        <v>725</v>
      </c>
      <c r="C192">
        <v>5</v>
      </c>
    </row>
    <row r="193" spans="1:3">
      <c r="A193" s="697">
        <v>761016</v>
      </c>
      <c r="B193" t="s">
        <v>725</v>
      </c>
      <c r="C193">
        <v>5</v>
      </c>
    </row>
    <row r="194" spans="1:3">
      <c r="A194" s="697">
        <v>779015</v>
      </c>
      <c r="B194" t="s">
        <v>725</v>
      </c>
      <c r="C194">
        <v>5</v>
      </c>
    </row>
    <row r="195" spans="1:3">
      <c r="A195" s="697">
        <v>781008</v>
      </c>
      <c r="B195" t="s">
        <v>725</v>
      </c>
      <c r="C195">
        <v>5</v>
      </c>
    </row>
    <row r="196" spans="1:3">
      <c r="A196" s="697">
        <v>783005</v>
      </c>
      <c r="B196" t="s">
        <v>725</v>
      </c>
      <c r="C196">
        <v>5</v>
      </c>
    </row>
    <row r="197" spans="1:3">
      <c r="A197" s="697">
        <v>789009</v>
      </c>
      <c r="B197" t="s">
        <v>725</v>
      </c>
      <c r="C197">
        <v>5</v>
      </c>
    </row>
    <row r="198" spans="1:3">
      <c r="A198" s="697">
        <v>791027</v>
      </c>
      <c r="B198" t="s">
        <v>725</v>
      </c>
      <c r="C198">
        <v>5</v>
      </c>
    </row>
    <row r="199" spans="1:3">
      <c r="A199" s="697">
        <v>791028</v>
      </c>
      <c r="B199" t="s">
        <v>725</v>
      </c>
      <c r="C199">
        <v>5</v>
      </c>
    </row>
    <row r="200" spans="1:3">
      <c r="A200" s="697">
        <v>280040</v>
      </c>
      <c r="B200" t="s">
        <v>725</v>
      </c>
      <c r="C200">
        <v>5</v>
      </c>
    </row>
    <row r="201" spans="1:3">
      <c r="A201" s="697">
        <v>280053</v>
      </c>
      <c r="B201" t="s">
        <v>725</v>
      </c>
      <c r="C201">
        <v>5</v>
      </c>
    </row>
    <row r="202" spans="1:3">
      <c r="A202" s="697">
        <v>280214</v>
      </c>
      <c r="B202" t="s">
        <v>725</v>
      </c>
      <c r="C202">
        <v>5</v>
      </c>
    </row>
    <row r="203" spans="1:3">
      <c r="A203" s="697">
        <v>280224</v>
      </c>
      <c r="B203" t="s">
        <v>725</v>
      </c>
      <c r="C203">
        <v>5</v>
      </c>
    </row>
    <row r="204" spans="1:3">
      <c r="A204" s="697">
        <v>280388</v>
      </c>
      <c r="B204" t="s">
        <v>725</v>
      </c>
      <c r="C204">
        <v>5</v>
      </c>
    </row>
    <row r="205" spans="1:3">
      <c r="A205" s="697">
        <v>280389</v>
      </c>
      <c r="B205" t="s">
        <v>725</v>
      </c>
      <c r="C205">
        <v>5</v>
      </c>
    </row>
    <row r="206" spans="1:3">
      <c r="A206" s="697">
        <v>280390</v>
      </c>
      <c r="B206" t="s">
        <v>725</v>
      </c>
      <c r="C206">
        <v>5</v>
      </c>
    </row>
    <row r="207" spans="1:3">
      <c r="A207" s="697">
        <v>280398</v>
      </c>
      <c r="B207" t="s">
        <v>725</v>
      </c>
      <c r="C207">
        <v>5</v>
      </c>
    </row>
    <row r="208" spans="1:3">
      <c r="A208" s="697">
        <v>280460</v>
      </c>
      <c r="B208" t="s">
        <v>725</v>
      </c>
      <c r="C208" s="698">
        <v>6</v>
      </c>
    </row>
    <row r="209" spans="1:3">
      <c r="A209" s="697">
        <v>719004</v>
      </c>
      <c r="B209" t="s">
        <v>725</v>
      </c>
      <c r="C209">
        <v>6</v>
      </c>
    </row>
    <row r="210" spans="1:3">
      <c r="A210" s="697">
        <v>765005</v>
      </c>
      <c r="B210" t="s">
        <v>725</v>
      </c>
      <c r="C210">
        <v>6</v>
      </c>
    </row>
    <row r="211" spans="1:3">
      <c r="A211" s="697">
        <v>773021</v>
      </c>
      <c r="B211" t="s">
        <v>725</v>
      </c>
      <c r="C211">
        <v>6</v>
      </c>
    </row>
    <row r="212" spans="1:3">
      <c r="A212" s="697">
        <v>773023</v>
      </c>
      <c r="B212" t="s">
        <v>725</v>
      </c>
      <c r="C212">
        <v>6</v>
      </c>
    </row>
    <row r="213" spans="1:3">
      <c r="A213" s="697">
        <v>773028</v>
      </c>
      <c r="B213" t="s">
        <v>725</v>
      </c>
      <c r="C213">
        <v>6</v>
      </c>
    </row>
    <row r="214" spans="1:3">
      <c r="A214" s="697">
        <v>773029</v>
      </c>
      <c r="B214" t="s">
        <v>725</v>
      </c>
      <c r="C214">
        <v>6</v>
      </c>
    </row>
    <row r="215" spans="1:3">
      <c r="A215" s="697">
        <v>773031</v>
      </c>
      <c r="B215" t="s">
        <v>725</v>
      </c>
      <c r="C215">
        <v>6</v>
      </c>
    </row>
    <row r="216" spans="1:3">
      <c r="A216" s="697">
        <v>773032</v>
      </c>
      <c r="B216" t="s">
        <v>725</v>
      </c>
      <c r="C216">
        <v>6</v>
      </c>
    </row>
    <row r="217" spans="1:3">
      <c r="A217" s="697">
        <v>785013</v>
      </c>
      <c r="B217" t="s">
        <v>725</v>
      </c>
      <c r="C217">
        <v>6</v>
      </c>
    </row>
    <row r="218" spans="1:3">
      <c r="A218" s="697">
        <v>785016</v>
      </c>
      <c r="B218" t="s">
        <v>725</v>
      </c>
      <c r="C218">
        <v>6</v>
      </c>
    </row>
    <row r="219" spans="1:3">
      <c r="A219" s="697">
        <v>787021</v>
      </c>
      <c r="B219" t="s">
        <v>725</v>
      </c>
      <c r="C219">
        <v>6</v>
      </c>
    </row>
    <row r="220" spans="1:3">
      <c r="A220" s="697">
        <v>787022</v>
      </c>
      <c r="B220" t="s">
        <v>725</v>
      </c>
      <c r="C220">
        <v>6</v>
      </c>
    </row>
    <row r="221" spans="1:3">
      <c r="A221" s="697">
        <v>787030</v>
      </c>
      <c r="B221" t="s">
        <v>725</v>
      </c>
      <c r="C221">
        <v>6</v>
      </c>
    </row>
    <row r="222" spans="1:3">
      <c r="A222" s="697">
        <v>787033</v>
      </c>
      <c r="B222" t="s">
        <v>725</v>
      </c>
      <c r="C222">
        <v>6</v>
      </c>
    </row>
    <row r="223" spans="1:3">
      <c r="A223" s="697">
        <v>793009</v>
      </c>
      <c r="B223" t="s">
        <v>725</v>
      </c>
      <c r="C223">
        <v>6</v>
      </c>
    </row>
    <row r="224" spans="1:3">
      <c r="A224" s="697">
        <v>811007</v>
      </c>
      <c r="B224" t="s">
        <v>725</v>
      </c>
      <c r="C224">
        <v>6</v>
      </c>
    </row>
    <row r="225" spans="1:3">
      <c r="A225" s="697">
        <v>821016</v>
      </c>
      <c r="B225" t="s">
        <v>725</v>
      </c>
      <c r="C225">
        <v>6</v>
      </c>
    </row>
    <row r="226" spans="1:3">
      <c r="A226" s="697">
        <v>823009</v>
      </c>
      <c r="B226" t="s">
        <v>725</v>
      </c>
      <c r="C226">
        <v>6</v>
      </c>
    </row>
    <row r="227" spans="1:3">
      <c r="A227" s="697">
        <v>827006</v>
      </c>
      <c r="B227" t="s">
        <v>725</v>
      </c>
      <c r="C227">
        <v>6</v>
      </c>
    </row>
    <row r="228" spans="1:3">
      <c r="A228" s="697">
        <v>831006</v>
      </c>
      <c r="B228" t="s">
        <v>725</v>
      </c>
      <c r="C228">
        <v>6</v>
      </c>
    </row>
    <row r="229" spans="1:3">
      <c r="A229" s="697">
        <v>831007</v>
      </c>
      <c r="B229" t="s">
        <v>725</v>
      </c>
      <c r="C229">
        <v>6</v>
      </c>
    </row>
    <row r="230" spans="1:3">
      <c r="A230" s="697">
        <v>837007</v>
      </c>
      <c r="B230" t="s">
        <v>725</v>
      </c>
      <c r="C230">
        <v>6</v>
      </c>
    </row>
    <row r="231" spans="1:3">
      <c r="A231" s="697">
        <v>845008</v>
      </c>
      <c r="B231" t="s">
        <v>725</v>
      </c>
      <c r="C231">
        <v>6</v>
      </c>
    </row>
    <row r="232" spans="1:3">
      <c r="A232" s="697">
        <v>845013</v>
      </c>
      <c r="B232" t="s">
        <v>725</v>
      </c>
      <c r="C232">
        <v>6</v>
      </c>
    </row>
    <row r="233" spans="1:3">
      <c r="A233" s="697">
        <v>846002</v>
      </c>
      <c r="B233" t="s">
        <v>725</v>
      </c>
      <c r="C233">
        <v>6</v>
      </c>
    </row>
    <row r="234" spans="1:3">
      <c r="A234" s="697">
        <v>847011</v>
      </c>
      <c r="B234" t="s">
        <v>725</v>
      </c>
      <c r="C234">
        <v>6</v>
      </c>
    </row>
    <row r="235" spans="1:3">
      <c r="A235" s="697">
        <v>847012</v>
      </c>
      <c r="B235" t="s">
        <v>725</v>
      </c>
      <c r="C235">
        <v>6</v>
      </c>
    </row>
    <row r="236" spans="1:3">
      <c r="A236" s="697">
        <v>849006</v>
      </c>
      <c r="B236" t="s">
        <v>725</v>
      </c>
      <c r="C236">
        <v>6</v>
      </c>
    </row>
    <row r="237" spans="1:3">
      <c r="A237" s="697">
        <v>849008</v>
      </c>
      <c r="B237" t="s">
        <v>725</v>
      </c>
      <c r="C237">
        <v>6</v>
      </c>
    </row>
    <row r="238" spans="1:3">
      <c r="A238" s="697">
        <v>851071</v>
      </c>
      <c r="B238" t="s">
        <v>725</v>
      </c>
      <c r="C238">
        <v>6</v>
      </c>
    </row>
    <row r="239" spans="1:3">
      <c r="A239" s="697">
        <v>851076</v>
      </c>
      <c r="B239" t="s">
        <v>725</v>
      </c>
      <c r="C239">
        <v>6</v>
      </c>
    </row>
    <row r="240" spans="1:3">
      <c r="A240" s="697">
        <v>851087</v>
      </c>
      <c r="B240" t="s">
        <v>725</v>
      </c>
      <c r="C240">
        <v>6</v>
      </c>
    </row>
    <row r="241" spans="1:3">
      <c r="A241" s="697">
        <v>861012</v>
      </c>
      <c r="B241" t="s">
        <v>725</v>
      </c>
      <c r="C241">
        <v>6</v>
      </c>
    </row>
    <row r="242" spans="1:3">
      <c r="A242" s="697">
        <v>280204</v>
      </c>
      <c r="B242" t="s">
        <v>725</v>
      </c>
      <c r="C242">
        <v>6</v>
      </c>
    </row>
    <row r="243" spans="1:3">
      <c r="A243" s="697">
        <v>280207</v>
      </c>
      <c r="B243" t="s">
        <v>725</v>
      </c>
      <c r="C243">
        <v>6</v>
      </c>
    </row>
    <row r="244" spans="1:3">
      <c r="A244" s="697">
        <v>280212</v>
      </c>
      <c r="B244" t="s">
        <v>725</v>
      </c>
      <c r="C244">
        <v>6</v>
      </c>
    </row>
    <row r="245" spans="1:3">
      <c r="A245" s="697">
        <v>280215</v>
      </c>
      <c r="B245" t="s">
        <v>725</v>
      </c>
      <c r="C245">
        <v>6</v>
      </c>
    </row>
    <row r="246" spans="1:3">
      <c r="A246" s="697">
        <v>280220</v>
      </c>
      <c r="B246" t="s">
        <v>725</v>
      </c>
      <c r="C246">
        <v>6</v>
      </c>
    </row>
    <row r="247" spans="1:3">
      <c r="A247" s="697">
        <v>280221</v>
      </c>
      <c r="B247" t="s">
        <v>725</v>
      </c>
      <c r="C247">
        <v>6</v>
      </c>
    </row>
    <row r="248" spans="1:3">
      <c r="A248" s="697">
        <v>280227</v>
      </c>
      <c r="B248" t="s">
        <v>725</v>
      </c>
      <c r="C248">
        <v>6</v>
      </c>
    </row>
    <row r="249" spans="1:3">
      <c r="A249" s="697">
        <v>280394</v>
      </c>
      <c r="B249" t="s">
        <v>725</v>
      </c>
      <c r="C249">
        <v>6</v>
      </c>
    </row>
    <row r="250" spans="1:3">
      <c r="A250" s="697">
        <v>101078</v>
      </c>
      <c r="B250" t="s">
        <v>726</v>
      </c>
      <c r="C250">
        <v>11</v>
      </c>
    </row>
    <row r="251" spans="1:3">
      <c r="A251" s="697">
        <v>101079</v>
      </c>
      <c r="B251" t="s">
        <v>726</v>
      </c>
      <c r="C251">
        <v>11</v>
      </c>
    </row>
    <row r="252" spans="1:3">
      <c r="A252" s="697">
        <v>101080</v>
      </c>
      <c r="B252" t="s">
        <v>726</v>
      </c>
      <c r="C252">
        <v>11</v>
      </c>
    </row>
    <row r="253" spans="1:3">
      <c r="A253" s="697">
        <v>101081</v>
      </c>
      <c r="B253" t="s">
        <v>726</v>
      </c>
      <c r="C253">
        <v>11</v>
      </c>
    </row>
    <row r="254" spans="1:3">
      <c r="A254" s="697">
        <v>101082</v>
      </c>
      <c r="B254" t="s">
        <v>726</v>
      </c>
      <c r="C254">
        <v>11</v>
      </c>
    </row>
    <row r="255" spans="1:3">
      <c r="A255" s="697">
        <v>101083</v>
      </c>
      <c r="B255" t="s">
        <v>726</v>
      </c>
      <c r="C255">
        <v>11</v>
      </c>
    </row>
    <row r="256" spans="1:3">
      <c r="A256" s="697">
        <v>101084</v>
      </c>
      <c r="B256" t="s">
        <v>726</v>
      </c>
      <c r="C256">
        <v>11</v>
      </c>
    </row>
    <row r="257" spans="1:3">
      <c r="A257" s="697">
        <v>101127</v>
      </c>
      <c r="B257" t="s">
        <v>726</v>
      </c>
      <c r="C257">
        <v>11</v>
      </c>
    </row>
    <row r="258" spans="1:3">
      <c r="A258" s="697">
        <v>101188</v>
      </c>
      <c r="B258" t="s">
        <v>726</v>
      </c>
      <c r="C258">
        <v>11</v>
      </c>
    </row>
    <row r="259" spans="1:3">
      <c r="A259" s="697">
        <v>147017</v>
      </c>
      <c r="B259" t="s">
        <v>726</v>
      </c>
      <c r="C259">
        <v>11</v>
      </c>
    </row>
    <row r="260" spans="1:3">
      <c r="A260" s="697">
        <v>147018</v>
      </c>
      <c r="B260" t="s">
        <v>726</v>
      </c>
      <c r="C260">
        <v>11</v>
      </c>
    </row>
    <row r="261" spans="1:3">
      <c r="A261" s="697">
        <v>157013</v>
      </c>
      <c r="B261" t="s">
        <v>726</v>
      </c>
      <c r="C261">
        <v>11</v>
      </c>
    </row>
    <row r="262" spans="1:3">
      <c r="A262" s="697">
        <v>157018</v>
      </c>
      <c r="B262" t="s">
        <v>726</v>
      </c>
      <c r="C262">
        <v>11</v>
      </c>
    </row>
    <row r="263" spans="1:3">
      <c r="A263" s="697">
        <v>157019</v>
      </c>
      <c r="B263" t="s">
        <v>726</v>
      </c>
      <c r="C263">
        <v>11</v>
      </c>
    </row>
    <row r="264" spans="1:3">
      <c r="A264" s="697">
        <v>157040</v>
      </c>
      <c r="B264" t="s">
        <v>726</v>
      </c>
      <c r="C264">
        <v>11</v>
      </c>
    </row>
    <row r="265" spans="1:3">
      <c r="A265" s="697">
        <v>159016</v>
      </c>
      <c r="B265" t="s">
        <v>726</v>
      </c>
      <c r="C265">
        <v>11</v>
      </c>
    </row>
    <row r="266" spans="1:3">
      <c r="A266" s="697">
        <v>159017</v>
      </c>
      <c r="B266" t="s">
        <v>726</v>
      </c>
      <c r="C266">
        <v>11</v>
      </c>
    </row>
    <row r="267" spans="1:3">
      <c r="A267" s="697">
        <v>163009</v>
      </c>
      <c r="B267" t="s">
        <v>726</v>
      </c>
      <c r="C267">
        <v>11</v>
      </c>
    </row>
    <row r="268" spans="1:3">
      <c r="A268" s="697">
        <v>169012</v>
      </c>
      <c r="B268" t="s">
        <v>726</v>
      </c>
      <c r="C268">
        <v>11</v>
      </c>
    </row>
    <row r="269" spans="1:3">
      <c r="A269" s="697">
        <v>169016</v>
      </c>
      <c r="B269" t="s">
        <v>726</v>
      </c>
      <c r="C269">
        <v>11</v>
      </c>
    </row>
    <row r="270" spans="1:3">
      <c r="A270" s="697">
        <v>169018</v>
      </c>
      <c r="B270" t="s">
        <v>726</v>
      </c>
      <c r="C270">
        <v>11</v>
      </c>
    </row>
    <row r="271" spans="1:3">
      <c r="A271" s="697">
        <v>173012</v>
      </c>
      <c r="B271" t="s">
        <v>726</v>
      </c>
      <c r="C271">
        <v>11</v>
      </c>
    </row>
    <row r="272" spans="1:3">
      <c r="A272" s="697">
        <v>173013</v>
      </c>
      <c r="B272" t="s">
        <v>726</v>
      </c>
      <c r="C272">
        <v>11</v>
      </c>
    </row>
    <row r="273" spans="1:3">
      <c r="A273" s="697">
        <v>173014</v>
      </c>
      <c r="B273" t="s">
        <v>726</v>
      </c>
      <c r="C273">
        <v>11</v>
      </c>
    </row>
    <row r="274" spans="1:3">
      <c r="A274" s="697">
        <v>173020</v>
      </c>
      <c r="B274" t="s">
        <v>726</v>
      </c>
      <c r="C274">
        <v>11</v>
      </c>
    </row>
    <row r="275" spans="1:3">
      <c r="A275" s="697">
        <v>175017</v>
      </c>
      <c r="B275" t="s">
        <v>726</v>
      </c>
      <c r="C275">
        <v>11</v>
      </c>
    </row>
    <row r="276" spans="1:3">
      <c r="A276" s="697">
        <v>183008</v>
      </c>
      <c r="B276" t="s">
        <v>726</v>
      </c>
      <c r="C276">
        <v>11</v>
      </c>
    </row>
    <row r="277" spans="1:3">
      <c r="A277" s="697">
        <v>185013</v>
      </c>
      <c r="B277" t="s">
        <v>726</v>
      </c>
      <c r="C277">
        <v>11</v>
      </c>
    </row>
    <row r="278" spans="1:3">
      <c r="A278" s="697">
        <v>190001</v>
      </c>
      <c r="B278" t="s">
        <v>726</v>
      </c>
      <c r="C278">
        <v>11</v>
      </c>
    </row>
    <row r="279" spans="1:3">
      <c r="A279" s="697">
        <v>205006</v>
      </c>
      <c r="B279" t="s">
        <v>726</v>
      </c>
      <c r="C279">
        <v>11</v>
      </c>
    </row>
    <row r="280" spans="1:3">
      <c r="A280" s="697">
        <v>209005</v>
      </c>
      <c r="B280" t="s">
        <v>726</v>
      </c>
      <c r="C280">
        <v>11</v>
      </c>
    </row>
    <row r="281" spans="1:3">
      <c r="A281" s="697">
        <v>213007</v>
      </c>
      <c r="B281" t="s">
        <v>726</v>
      </c>
      <c r="C281">
        <v>11</v>
      </c>
    </row>
    <row r="282" spans="1:3">
      <c r="A282" s="697">
        <v>215007</v>
      </c>
      <c r="B282" t="s">
        <v>726</v>
      </c>
      <c r="C282">
        <v>11</v>
      </c>
    </row>
    <row r="283" spans="1:3">
      <c r="A283" s="697">
        <v>219010</v>
      </c>
      <c r="B283" t="s">
        <v>726</v>
      </c>
      <c r="C283">
        <v>11</v>
      </c>
    </row>
    <row r="284" spans="1:3">
      <c r="A284" s="697">
        <v>223006</v>
      </c>
      <c r="B284" t="s">
        <v>726</v>
      </c>
      <c r="C284">
        <v>11</v>
      </c>
    </row>
    <row r="285" spans="1:3">
      <c r="A285" s="697">
        <v>231005</v>
      </c>
      <c r="B285" t="s">
        <v>726</v>
      </c>
      <c r="C285">
        <v>11</v>
      </c>
    </row>
    <row r="286" spans="1:3">
      <c r="A286" s="697">
        <v>235006</v>
      </c>
      <c r="B286" t="s">
        <v>726</v>
      </c>
      <c r="C286">
        <v>11</v>
      </c>
    </row>
    <row r="287" spans="1:3">
      <c r="A287" s="697">
        <v>253013</v>
      </c>
      <c r="B287" t="s">
        <v>726</v>
      </c>
      <c r="C287">
        <v>11</v>
      </c>
    </row>
    <row r="288" spans="1:3">
      <c r="A288" s="697">
        <v>265017</v>
      </c>
      <c r="B288" t="s">
        <v>726</v>
      </c>
      <c r="C288">
        <v>11</v>
      </c>
    </row>
    <row r="289" spans="1:3">
      <c r="A289" s="697">
        <v>265019</v>
      </c>
      <c r="B289" t="s">
        <v>726</v>
      </c>
      <c r="C289">
        <v>11</v>
      </c>
    </row>
    <row r="290" spans="1:3">
      <c r="A290" s="697">
        <v>280447</v>
      </c>
      <c r="B290" t="s">
        <v>726</v>
      </c>
      <c r="C290">
        <v>11</v>
      </c>
    </row>
    <row r="291" spans="1:3">
      <c r="A291" s="697">
        <v>280462</v>
      </c>
      <c r="B291" t="s">
        <v>726</v>
      </c>
      <c r="C291">
        <v>11</v>
      </c>
    </row>
    <row r="292" spans="1:3">
      <c r="A292" s="697">
        <v>280467</v>
      </c>
      <c r="B292" t="s">
        <v>726</v>
      </c>
      <c r="C292">
        <v>11</v>
      </c>
    </row>
    <row r="293" spans="1:3">
      <c r="A293" s="697">
        <v>280468</v>
      </c>
      <c r="B293" t="s">
        <v>726</v>
      </c>
      <c r="C293">
        <v>11</v>
      </c>
    </row>
    <row r="294" spans="1:3">
      <c r="A294" s="697">
        <v>280471</v>
      </c>
      <c r="B294" t="s">
        <v>726</v>
      </c>
      <c r="C294">
        <v>11</v>
      </c>
    </row>
    <row r="295" spans="1:3">
      <c r="A295" s="697">
        <v>280477</v>
      </c>
      <c r="B295" t="s">
        <v>726</v>
      </c>
      <c r="C295">
        <v>11</v>
      </c>
    </row>
    <row r="296" spans="1:3">
      <c r="A296" s="697">
        <v>280537</v>
      </c>
      <c r="B296" t="s">
        <v>726</v>
      </c>
      <c r="C296">
        <v>11</v>
      </c>
    </row>
    <row r="297" spans="1:3">
      <c r="A297" s="697">
        <v>280538</v>
      </c>
      <c r="B297" t="s">
        <v>726</v>
      </c>
      <c r="C297">
        <v>11</v>
      </c>
    </row>
    <row r="298" spans="1:3">
      <c r="A298" s="697">
        <v>280540</v>
      </c>
      <c r="B298" t="s">
        <v>726</v>
      </c>
      <c r="C298">
        <v>11</v>
      </c>
    </row>
    <row r="299" spans="1:3">
      <c r="A299" s="697">
        <v>280545</v>
      </c>
      <c r="B299" t="s">
        <v>726</v>
      </c>
      <c r="C299">
        <v>11</v>
      </c>
    </row>
    <row r="300" spans="1:3">
      <c r="A300" s="697">
        <v>280551</v>
      </c>
      <c r="B300" t="s">
        <v>726</v>
      </c>
      <c r="C300">
        <v>11</v>
      </c>
    </row>
    <row r="301" spans="1:3">
      <c r="A301" s="697">
        <v>280552</v>
      </c>
      <c r="B301" t="s">
        <v>726</v>
      </c>
      <c r="C301">
        <v>11</v>
      </c>
    </row>
    <row r="302" spans="1:3">
      <c r="A302" s="697">
        <v>307004</v>
      </c>
      <c r="B302" t="s">
        <v>726</v>
      </c>
      <c r="C302">
        <v>11</v>
      </c>
    </row>
    <row r="303" spans="1:3">
      <c r="A303" s="697">
        <v>315011</v>
      </c>
      <c r="B303" t="s">
        <v>726</v>
      </c>
      <c r="C303">
        <v>11</v>
      </c>
    </row>
    <row r="304" spans="1:3">
      <c r="A304" s="697">
        <v>319007</v>
      </c>
      <c r="B304" t="s">
        <v>726</v>
      </c>
      <c r="C304">
        <v>11</v>
      </c>
    </row>
    <row r="305" spans="1:3">
      <c r="A305" s="697">
        <v>329017</v>
      </c>
      <c r="B305" t="s">
        <v>726</v>
      </c>
      <c r="C305">
        <v>11</v>
      </c>
    </row>
    <row r="306" spans="1:3">
      <c r="A306" s="697">
        <v>333014</v>
      </c>
      <c r="B306" t="s">
        <v>726</v>
      </c>
      <c r="C306">
        <v>11</v>
      </c>
    </row>
    <row r="307" spans="1:3">
      <c r="A307" s="697">
        <v>335006</v>
      </c>
      <c r="B307" t="s">
        <v>726</v>
      </c>
      <c r="C307">
        <v>11</v>
      </c>
    </row>
    <row r="308" spans="1:3">
      <c r="A308" s="697">
        <v>363009</v>
      </c>
      <c r="B308" t="s">
        <v>726</v>
      </c>
      <c r="C308">
        <v>11</v>
      </c>
    </row>
    <row r="309" spans="1:3">
      <c r="A309" s="697">
        <v>367006</v>
      </c>
      <c r="B309" t="s">
        <v>726</v>
      </c>
      <c r="C309">
        <v>11</v>
      </c>
    </row>
    <row r="310" spans="1:3">
      <c r="A310" s="697">
        <v>367007</v>
      </c>
      <c r="B310" t="s">
        <v>726</v>
      </c>
      <c r="C310">
        <v>11</v>
      </c>
    </row>
    <row r="311" spans="1:3">
      <c r="A311" s="697">
        <v>369010</v>
      </c>
      <c r="B311" t="s">
        <v>726</v>
      </c>
      <c r="C311">
        <v>11</v>
      </c>
    </row>
    <row r="312" spans="1:3">
      <c r="A312" s="697">
        <v>369011</v>
      </c>
      <c r="B312" t="s">
        <v>726</v>
      </c>
      <c r="C312">
        <v>11</v>
      </c>
    </row>
    <row r="313" spans="1:3">
      <c r="A313" s="697">
        <v>373018</v>
      </c>
      <c r="B313" t="s">
        <v>726</v>
      </c>
      <c r="C313">
        <v>11</v>
      </c>
    </row>
    <row r="314" spans="1:3">
      <c r="A314" s="697">
        <v>379008</v>
      </c>
      <c r="B314" t="s">
        <v>726</v>
      </c>
      <c r="C314">
        <v>11</v>
      </c>
    </row>
    <row r="315" spans="1:3">
      <c r="A315" s="697">
        <v>400021</v>
      </c>
      <c r="B315" t="s">
        <v>726</v>
      </c>
      <c r="C315">
        <v>11</v>
      </c>
    </row>
    <row r="316" spans="1:3">
      <c r="A316" s="697">
        <v>400037</v>
      </c>
      <c r="B316" t="s">
        <v>726</v>
      </c>
      <c r="C316">
        <v>11</v>
      </c>
    </row>
    <row r="317" spans="1:3">
      <c r="A317" s="697">
        <v>421007</v>
      </c>
      <c r="B317" t="s">
        <v>726</v>
      </c>
      <c r="C317">
        <v>11</v>
      </c>
    </row>
    <row r="318" spans="1:3">
      <c r="A318" s="697">
        <v>429006</v>
      </c>
      <c r="B318" t="s">
        <v>726</v>
      </c>
      <c r="C318">
        <v>11</v>
      </c>
    </row>
    <row r="319" spans="1:3">
      <c r="A319" s="697">
        <v>449008</v>
      </c>
      <c r="B319" t="s">
        <v>726</v>
      </c>
      <c r="C319">
        <v>11</v>
      </c>
    </row>
    <row r="320" spans="1:3">
      <c r="A320" s="697">
        <v>449009</v>
      </c>
      <c r="B320" t="s">
        <v>726</v>
      </c>
      <c r="C320">
        <v>11</v>
      </c>
    </row>
    <row r="321" spans="1:3">
      <c r="A321" s="697">
        <v>451003</v>
      </c>
      <c r="B321" t="s">
        <v>726</v>
      </c>
      <c r="C321">
        <v>11</v>
      </c>
    </row>
    <row r="322" spans="1:3">
      <c r="A322" s="697">
        <v>461040</v>
      </c>
      <c r="B322" t="s">
        <v>726</v>
      </c>
      <c r="C322">
        <v>11</v>
      </c>
    </row>
    <row r="323" spans="1:3">
      <c r="A323" s="697">
        <v>461042</v>
      </c>
      <c r="B323" t="s">
        <v>726</v>
      </c>
      <c r="C323">
        <v>11</v>
      </c>
    </row>
    <row r="324" spans="1:3">
      <c r="A324" s="697">
        <v>461043</v>
      </c>
      <c r="B324" t="s">
        <v>726</v>
      </c>
      <c r="C324">
        <v>11</v>
      </c>
    </row>
    <row r="325" spans="1:3">
      <c r="A325" s="697">
        <v>461045</v>
      </c>
      <c r="B325" t="s">
        <v>726</v>
      </c>
      <c r="C325">
        <v>11</v>
      </c>
    </row>
    <row r="326" spans="1:3">
      <c r="A326" s="697">
        <v>471011</v>
      </c>
      <c r="B326" t="s">
        <v>726</v>
      </c>
      <c r="C326">
        <v>11</v>
      </c>
    </row>
    <row r="327" spans="1:3">
      <c r="A327" s="697">
        <v>479013</v>
      </c>
      <c r="B327" t="s">
        <v>726</v>
      </c>
      <c r="C327">
        <v>11</v>
      </c>
    </row>
    <row r="328" spans="1:3">
      <c r="A328" s="697">
        <v>479014</v>
      </c>
      <c r="B328" t="s">
        <v>726</v>
      </c>
      <c r="C328">
        <v>11</v>
      </c>
    </row>
    <row r="329" spans="1:3">
      <c r="A329" s="697">
        <v>515014</v>
      </c>
      <c r="B329" t="s">
        <v>726</v>
      </c>
      <c r="C329">
        <v>11</v>
      </c>
    </row>
    <row r="330" spans="1:3">
      <c r="A330" s="697">
        <v>525011</v>
      </c>
      <c r="B330" t="s">
        <v>726</v>
      </c>
      <c r="C330">
        <v>11</v>
      </c>
    </row>
    <row r="331" spans="1:3">
      <c r="A331" s="697">
        <v>531007</v>
      </c>
      <c r="B331" t="s">
        <v>726</v>
      </c>
      <c r="C331">
        <v>11</v>
      </c>
    </row>
    <row r="332" spans="1:3">
      <c r="A332" s="697">
        <v>537015</v>
      </c>
      <c r="B332" t="s">
        <v>726</v>
      </c>
      <c r="C332">
        <v>11</v>
      </c>
    </row>
    <row r="333" spans="1:3">
      <c r="A333" s="697">
        <v>561026</v>
      </c>
      <c r="B333" t="s">
        <v>726</v>
      </c>
      <c r="C333">
        <v>11</v>
      </c>
    </row>
    <row r="334" spans="1:3">
      <c r="A334" s="697">
        <v>561030</v>
      </c>
      <c r="B334" t="s">
        <v>726</v>
      </c>
      <c r="C334">
        <v>11</v>
      </c>
    </row>
    <row r="335" spans="1:3">
      <c r="A335" s="697">
        <v>565010</v>
      </c>
      <c r="B335" t="s">
        <v>726</v>
      </c>
      <c r="C335">
        <v>11</v>
      </c>
    </row>
    <row r="336" spans="1:3">
      <c r="A336" s="697">
        <v>571022</v>
      </c>
      <c r="B336" t="s">
        <v>726</v>
      </c>
      <c r="C336">
        <v>11</v>
      </c>
    </row>
    <row r="337" spans="1:3">
      <c r="A337" s="697">
        <v>607015</v>
      </c>
      <c r="B337" t="s">
        <v>726</v>
      </c>
      <c r="C337">
        <v>11</v>
      </c>
    </row>
    <row r="338" spans="1:3">
      <c r="A338" s="697">
        <v>607018</v>
      </c>
      <c r="B338" t="s">
        <v>726</v>
      </c>
      <c r="C338">
        <v>11</v>
      </c>
    </row>
    <row r="339" spans="1:3">
      <c r="A339" s="697">
        <v>615016</v>
      </c>
      <c r="B339" t="s">
        <v>726</v>
      </c>
      <c r="C339">
        <v>11</v>
      </c>
    </row>
    <row r="340" spans="1:3">
      <c r="A340" s="697">
        <v>615017</v>
      </c>
      <c r="B340" t="s">
        <v>726</v>
      </c>
      <c r="C340">
        <v>11</v>
      </c>
    </row>
    <row r="341" spans="1:3">
      <c r="A341" s="697">
        <v>621019</v>
      </c>
      <c r="B341" t="s">
        <v>726</v>
      </c>
      <c r="C341">
        <v>11</v>
      </c>
    </row>
    <row r="342" spans="1:3">
      <c r="A342" s="697">
        <v>621020</v>
      </c>
      <c r="B342" t="s">
        <v>726</v>
      </c>
      <c r="C342">
        <v>11</v>
      </c>
    </row>
    <row r="343" spans="1:3">
      <c r="A343" s="697">
        <v>631018</v>
      </c>
      <c r="B343" t="s">
        <v>726</v>
      </c>
      <c r="C343">
        <v>11</v>
      </c>
    </row>
    <row r="344" spans="1:3">
      <c r="A344" s="697">
        <v>631019</v>
      </c>
      <c r="B344" t="s">
        <v>726</v>
      </c>
      <c r="C344">
        <v>11</v>
      </c>
    </row>
    <row r="345" spans="1:3">
      <c r="A345" s="697">
        <v>657037</v>
      </c>
      <c r="B345" t="s">
        <v>726</v>
      </c>
      <c r="C345">
        <v>11</v>
      </c>
    </row>
    <row r="346" spans="1:3">
      <c r="A346" s="697">
        <v>683007</v>
      </c>
      <c r="B346" t="s">
        <v>726</v>
      </c>
      <c r="C346">
        <v>11</v>
      </c>
    </row>
    <row r="347" spans="1:3">
      <c r="A347" s="697">
        <v>727011</v>
      </c>
      <c r="B347" t="s">
        <v>726</v>
      </c>
      <c r="C347">
        <v>11</v>
      </c>
    </row>
    <row r="348" spans="1:3">
      <c r="A348" s="697">
        <v>731015</v>
      </c>
      <c r="B348" t="s">
        <v>726</v>
      </c>
      <c r="C348">
        <v>11</v>
      </c>
    </row>
    <row r="349" spans="1:3">
      <c r="A349" s="697">
        <v>731016</v>
      </c>
      <c r="B349" t="s">
        <v>726</v>
      </c>
      <c r="C349">
        <v>11</v>
      </c>
    </row>
    <row r="350" spans="1:3">
      <c r="A350" s="697">
        <v>731017</v>
      </c>
      <c r="B350" t="s">
        <v>726</v>
      </c>
      <c r="C350">
        <v>11</v>
      </c>
    </row>
    <row r="351" spans="1:3">
      <c r="A351" s="697">
        <v>739006</v>
      </c>
      <c r="B351" t="s">
        <v>726</v>
      </c>
      <c r="C351">
        <v>11</v>
      </c>
    </row>
    <row r="352" spans="1:3">
      <c r="A352" s="697">
        <v>743015</v>
      </c>
      <c r="B352" t="s">
        <v>726</v>
      </c>
      <c r="C352">
        <v>11</v>
      </c>
    </row>
    <row r="353" spans="1:3">
      <c r="A353" s="697">
        <v>743017</v>
      </c>
      <c r="B353" t="s">
        <v>726</v>
      </c>
      <c r="C353">
        <v>11</v>
      </c>
    </row>
    <row r="354" spans="1:3">
      <c r="A354" s="697">
        <v>745006</v>
      </c>
      <c r="B354" t="s">
        <v>726</v>
      </c>
      <c r="C354">
        <v>11</v>
      </c>
    </row>
    <row r="355" spans="1:3">
      <c r="A355" s="697">
        <v>751058</v>
      </c>
      <c r="B355" t="s">
        <v>726</v>
      </c>
      <c r="C355">
        <v>11</v>
      </c>
    </row>
    <row r="356" spans="1:3">
      <c r="A356" s="697">
        <v>751059</v>
      </c>
      <c r="B356" t="s">
        <v>726</v>
      </c>
      <c r="C356">
        <v>11</v>
      </c>
    </row>
    <row r="357" spans="1:3">
      <c r="A357" s="697">
        <v>751060</v>
      </c>
      <c r="B357" t="s">
        <v>726</v>
      </c>
      <c r="C357">
        <v>11</v>
      </c>
    </row>
    <row r="358" spans="1:3">
      <c r="A358" s="697">
        <v>751061</v>
      </c>
      <c r="B358" t="s">
        <v>726</v>
      </c>
      <c r="C358">
        <v>11</v>
      </c>
    </row>
    <row r="359" spans="1:3">
      <c r="A359" s="697">
        <v>751063</v>
      </c>
      <c r="B359" t="s">
        <v>726</v>
      </c>
      <c r="C359">
        <v>11</v>
      </c>
    </row>
    <row r="360" spans="1:3">
      <c r="A360" s="697">
        <v>751081</v>
      </c>
      <c r="B360" t="s">
        <v>726</v>
      </c>
      <c r="C360">
        <v>11</v>
      </c>
    </row>
    <row r="361" spans="1:3">
      <c r="A361" s="697">
        <v>751095</v>
      </c>
      <c r="B361" t="s">
        <v>726</v>
      </c>
      <c r="C361">
        <v>11</v>
      </c>
    </row>
    <row r="362" spans="1:3">
      <c r="A362" s="697">
        <v>751114</v>
      </c>
      <c r="B362" t="s">
        <v>726</v>
      </c>
      <c r="C362">
        <v>11</v>
      </c>
    </row>
    <row r="363" spans="1:3">
      <c r="A363" s="697">
        <v>756002</v>
      </c>
      <c r="B363" t="s">
        <v>726</v>
      </c>
      <c r="C363">
        <v>11</v>
      </c>
    </row>
    <row r="364" spans="1:3">
      <c r="A364" s="697">
        <v>791014</v>
      </c>
      <c r="B364" t="s">
        <v>726</v>
      </c>
      <c r="C364">
        <v>11</v>
      </c>
    </row>
    <row r="365" spans="1:3">
      <c r="A365" s="697">
        <v>791029</v>
      </c>
      <c r="B365" t="s">
        <v>726</v>
      </c>
      <c r="C365">
        <v>11</v>
      </c>
    </row>
    <row r="366" spans="1:3">
      <c r="A366" s="697">
        <v>793008</v>
      </c>
      <c r="B366" t="s">
        <v>726</v>
      </c>
      <c r="C366">
        <v>11</v>
      </c>
    </row>
    <row r="367" spans="1:3">
      <c r="A367" s="697">
        <v>801007</v>
      </c>
      <c r="B367" t="s">
        <v>726</v>
      </c>
      <c r="C367">
        <v>11</v>
      </c>
    </row>
    <row r="368" spans="1:3">
      <c r="A368" s="697">
        <v>805016</v>
      </c>
      <c r="B368" t="s">
        <v>726</v>
      </c>
      <c r="C368">
        <v>11</v>
      </c>
    </row>
    <row r="369" spans="1:3">
      <c r="A369" s="697">
        <v>813010</v>
      </c>
      <c r="B369" t="s">
        <v>726</v>
      </c>
      <c r="C369">
        <v>11</v>
      </c>
    </row>
    <row r="370" spans="1:3">
      <c r="A370" s="697">
        <v>821011</v>
      </c>
      <c r="B370" t="s">
        <v>726</v>
      </c>
      <c r="C370">
        <v>11</v>
      </c>
    </row>
    <row r="371" spans="1:3">
      <c r="A371" s="697">
        <v>851051</v>
      </c>
      <c r="B371" t="s">
        <v>726</v>
      </c>
      <c r="C371">
        <v>11</v>
      </c>
    </row>
    <row r="372" spans="1:3">
      <c r="A372" s="697">
        <v>851052</v>
      </c>
      <c r="B372" t="s">
        <v>726</v>
      </c>
      <c r="C372">
        <v>11</v>
      </c>
    </row>
    <row r="373" spans="1:3">
      <c r="A373" s="697">
        <v>851053</v>
      </c>
      <c r="B373" t="s">
        <v>726</v>
      </c>
      <c r="C373">
        <v>11</v>
      </c>
    </row>
    <row r="374" spans="1:3">
      <c r="A374" s="697">
        <v>851055</v>
      </c>
      <c r="B374" t="s">
        <v>726</v>
      </c>
      <c r="C374">
        <v>11</v>
      </c>
    </row>
    <row r="375" spans="1:3">
      <c r="A375" s="697">
        <v>267008</v>
      </c>
      <c r="B375" t="s">
        <v>726</v>
      </c>
      <c r="C375">
        <v>11</v>
      </c>
    </row>
    <row r="376" spans="1:3">
      <c r="A376" s="697">
        <v>269009</v>
      </c>
      <c r="B376" t="s">
        <v>726</v>
      </c>
      <c r="C376">
        <v>11</v>
      </c>
    </row>
    <row r="377" spans="1:3">
      <c r="A377" s="697">
        <v>280033</v>
      </c>
      <c r="B377" t="s">
        <v>726</v>
      </c>
      <c r="C377">
        <v>11</v>
      </c>
    </row>
    <row r="378" spans="1:3">
      <c r="A378" s="697">
        <v>280202</v>
      </c>
      <c r="B378" t="s">
        <v>726</v>
      </c>
      <c r="C378">
        <v>11</v>
      </c>
    </row>
    <row r="379" spans="1:3">
      <c r="A379" s="697">
        <v>280205</v>
      </c>
      <c r="B379" t="s">
        <v>726</v>
      </c>
      <c r="C379">
        <v>11</v>
      </c>
    </row>
    <row r="380" spans="1:3">
      <c r="A380" s="697">
        <v>280206</v>
      </c>
      <c r="B380" t="s">
        <v>726</v>
      </c>
      <c r="C380">
        <v>11</v>
      </c>
    </row>
    <row r="381" spans="1:3">
      <c r="A381" s="697">
        <v>280210</v>
      </c>
      <c r="B381" t="s">
        <v>726</v>
      </c>
      <c r="C381">
        <v>11</v>
      </c>
    </row>
    <row r="382" spans="1:3">
      <c r="A382" s="697">
        <v>280383</v>
      </c>
      <c r="B382" t="s">
        <v>726</v>
      </c>
      <c r="C382">
        <v>11</v>
      </c>
    </row>
    <row r="383" spans="1:3">
      <c r="A383" s="697">
        <v>280397</v>
      </c>
      <c r="B383" t="s">
        <v>726</v>
      </c>
      <c r="C383">
        <v>11</v>
      </c>
    </row>
    <row r="384" spans="1:3">
      <c r="A384" s="697">
        <v>101091</v>
      </c>
      <c r="B384" t="s">
        <v>728</v>
      </c>
      <c r="C384">
        <v>12</v>
      </c>
    </row>
    <row r="385" spans="1:3">
      <c r="A385" s="697">
        <v>101178</v>
      </c>
      <c r="B385" t="s">
        <v>728</v>
      </c>
      <c r="C385">
        <v>12</v>
      </c>
    </row>
    <row r="386" spans="1:3">
      <c r="A386" s="697">
        <v>147033</v>
      </c>
      <c r="B386" t="s">
        <v>728</v>
      </c>
      <c r="C386">
        <v>12</v>
      </c>
    </row>
    <row r="387" spans="1:3">
      <c r="A387" s="697">
        <v>151021</v>
      </c>
      <c r="B387" t="s">
        <v>728</v>
      </c>
      <c r="C387">
        <v>12</v>
      </c>
    </row>
    <row r="388" spans="1:3">
      <c r="A388" s="697">
        <v>167013</v>
      </c>
      <c r="B388" t="s">
        <v>728</v>
      </c>
      <c r="C388">
        <v>12</v>
      </c>
    </row>
    <row r="389" spans="1:3">
      <c r="A389" s="697">
        <v>187005</v>
      </c>
      <c r="B389" t="s">
        <v>728</v>
      </c>
      <c r="C389">
        <v>12</v>
      </c>
    </row>
    <row r="390" spans="1:3">
      <c r="A390" s="697">
        <v>213008</v>
      </c>
      <c r="B390" t="s">
        <v>728</v>
      </c>
      <c r="C390">
        <v>12</v>
      </c>
    </row>
    <row r="391" spans="1:3">
      <c r="A391" s="697">
        <v>219011</v>
      </c>
      <c r="B391" t="s">
        <v>728</v>
      </c>
      <c r="C391">
        <v>12</v>
      </c>
    </row>
    <row r="392" spans="1:3">
      <c r="A392" s="697">
        <v>259021</v>
      </c>
      <c r="B392" t="s">
        <v>728</v>
      </c>
      <c r="C392">
        <v>12</v>
      </c>
    </row>
    <row r="393" spans="1:3">
      <c r="A393" s="697">
        <v>315013</v>
      </c>
      <c r="B393" t="s">
        <v>728</v>
      </c>
      <c r="C393">
        <v>12</v>
      </c>
    </row>
    <row r="394" spans="1:3">
      <c r="A394" s="697">
        <v>400024</v>
      </c>
      <c r="B394" t="s">
        <v>728</v>
      </c>
      <c r="C394">
        <v>12</v>
      </c>
    </row>
    <row r="395" spans="1:3">
      <c r="A395" s="697">
        <v>400034</v>
      </c>
      <c r="B395" t="s">
        <v>728</v>
      </c>
      <c r="C395">
        <v>12</v>
      </c>
    </row>
    <row r="396" spans="1:3">
      <c r="A396" s="697">
        <v>461053</v>
      </c>
      <c r="B396" t="s">
        <v>728</v>
      </c>
      <c r="C396">
        <v>12</v>
      </c>
    </row>
    <row r="397" spans="1:3">
      <c r="A397" s="697">
        <v>515018</v>
      </c>
      <c r="B397" t="s">
        <v>728</v>
      </c>
      <c r="C397">
        <v>12</v>
      </c>
    </row>
    <row r="398" spans="1:3">
      <c r="A398" s="697">
        <v>525007</v>
      </c>
      <c r="B398" t="s">
        <v>728</v>
      </c>
      <c r="C398">
        <v>12</v>
      </c>
    </row>
    <row r="399" spans="1:3">
      <c r="A399" s="697">
        <v>527009</v>
      </c>
      <c r="B399" t="s">
        <v>728</v>
      </c>
      <c r="C399">
        <v>12</v>
      </c>
    </row>
    <row r="400" spans="1:3">
      <c r="A400" s="697">
        <v>539014</v>
      </c>
      <c r="B400" t="s">
        <v>728</v>
      </c>
      <c r="C400">
        <v>12</v>
      </c>
    </row>
    <row r="401" spans="1:3">
      <c r="A401" s="697">
        <v>561036</v>
      </c>
      <c r="B401" t="s">
        <v>728</v>
      </c>
      <c r="C401">
        <v>12</v>
      </c>
    </row>
    <row r="402" spans="1:3">
      <c r="A402" s="697">
        <v>613008</v>
      </c>
      <c r="B402" t="s">
        <v>728</v>
      </c>
      <c r="C402">
        <v>12</v>
      </c>
    </row>
    <row r="403" spans="1:3">
      <c r="A403" s="697">
        <v>621025</v>
      </c>
      <c r="B403" t="s">
        <v>728</v>
      </c>
      <c r="C403">
        <v>12</v>
      </c>
    </row>
    <row r="404" spans="1:3">
      <c r="A404" s="697">
        <v>631029</v>
      </c>
      <c r="B404" t="s">
        <v>728</v>
      </c>
      <c r="C404">
        <v>12</v>
      </c>
    </row>
    <row r="405" spans="1:3">
      <c r="A405" s="697">
        <v>651005</v>
      </c>
      <c r="B405" t="s">
        <v>728</v>
      </c>
      <c r="C405">
        <v>12</v>
      </c>
    </row>
    <row r="406" spans="1:3">
      <c r="A406" s="697">
        <v>657027</v>
      </c>
      <c r="B406" t="s">
        <v>728</v>
      </c>
      <c r="C406">
        <v>12</v>
      </c>
    </row>
    <row r="407" spans="1:3">
      <c r="A407" s="697">
        <v>661016</v>
      </c>
      <c r="B407" t="s">
        <v>728</v>
      </c>
      <c r="C407">
        <v>12</v>
      </c>
    </row>
    <row r="408" spans="1:3">
      <c r="A408" s="697">
        <v>665023</v>
      </c>
      <c r="B408" t="s">
        <v>728</v>
      </c>
      <c r="C408">
        <v>12</v>
      </c>
    </row>
    <row r="409" spans="1:3">
      <c r="A409" s="697">
        <v>669010</v>
      </c>
      <c r="B409" t="s">
        <v>728</v>
      </c>
      <c r="C409">
        <v>12</v>
      </c>
    </row>
    <row r="410" spans="1:3">
      <c r="A410" s="697">
        <v>681009</v>
      </c>
      <c r="B410" t="s">
        <v>728</v>
      </c>
      <c r="C410">
        <v>12</v>
      </c>
    </row>
    <row r="411" spans="1:3">
      <c r="A411" s="697">
        <v>705006</v>
      </c>
      <c r="B411" t="s">
        <v>728</v>
      </c>
      <c r="C411">
        <v>12</v>
      </c>
    </row>
    <row r="412" spans="1:3">
      <c r="A412" s="697">
        <v>731027</v>
      </c>
      <c r="B412" t="s">
        <v>728</v>
      </c>
      <c r="C412">
        <v>12</v>
      </c>
    </row>
    <row r="413" spans="1:3">
      <c r="A413" s="697">
        <v>751080</v>
      </c>
      <c r="B413" t="s">
        <v>728</v>
      </c>
      <c r="C413">
        <v>12</v>
      </c>
    </row>
    <row r="414" spans="1:3">
      <c r="A414" s="697">
        <v>761012</v>
      </c>
      <c r="B414" t="s">
        <v>728</v>
      </c>
      <c r="C414">
        <v>12</v>
      </c>
    </row>
    <row r="415" spans="1:3">
      <c r="A415" s="697">
        <v>787035</v>
      </c>
      <c r="B415" t="s">
        <v>728</v>
      </c>
      <c r="C415">
        <v>12</v>
      </c>
    </row>
    <row r="416" spans="1:3">
      <c r="A416" s="697">
        <v>851068</v>
      </c>
      <c r="B416" t="s">
        <v>728</v>
      </c>
      <c r="C416">
        <v>12</v>
      </c>
    </row>
    <row r="417" spans="1:3">
      <c r="A417" s="697">
        <v>280392</v>
      </c>
      <c r="B417" t="s">
        <v>728</v>
      </c>
      <c r="C417">
        <v>12</v>
      </c>
    </row>
    <row r="418" spans="1:3">
      <c r="A418" s="697">
        <v>503006</v>
      </c>
      <c r="B418" t="s">
        <v>794</v>
      </c>
      <c r="C418">
        <v>14</v>
      </c>
    </row>
    <row r="419" spans="1:3">
      <c r="A419" s="697">
        <v>513005</v>
      </c>
      <c r="B419" t="s">
        <v>794</v>
      </c>
      <c r="C419">
        <v>14</v>
      </c>
    </row>
    <row r="420" spans="1:3">
      <c r="A420" s="697">
        <v>515015</v>
      </c>
      <c r="B420" t="s">
        <v>794</v>
      </c>
      <c r="C420">
        <v>14</v>
      </c>
    </row>
    <row r="421" spans="1:3">
      <c r="A421" s="697">
        <v>519006</v>
      </c>
      <c r="B421" t="s">
        <v>794</v>
      </c>
      <c r="C421">
        <v>14</v>
      </c>
    </row>
    <row r="422" spans="1:3">
      <c r="A422" s="697">
        <v>521006</v>
      </c>
      <c r="B422" t="s">
        <v>794</v>
      </c>
      <c r="C422">
        <v>14</v>
      </c>
    </row>
    <row r="423" spans="1:3">
      <c r="A423" s="697">
        <v>521008</v>
      </c>
      <c r="B423" t="s">
        <v>794</v>
      </c>
      <c r="C423">
        <v>14</v>
      </c>
    </row>
    <row r="424" spans="1:3">
      <c r="A424" s="697">
        <v>523010</v>
      </c>
      <c r="B424" t="s">
        <v>794</v>
      </c>
      <c r="C424">
        <v>14</v>
      </c>
    </row>
    <row r="425" spans="1:3">
      <c r="A425" s="697">
        <v>529006</v>
      </c>
      <c r="B425" t="s">
        <v>794</v>
      </c>
      <c r="C425">
        <v>14</v>
      </c>
    </row>
    <row r="426" spans="1:3">
      <c r="A426" s="697">
        <v>537009</v>
      </c>
      <c r="B426" t="s">
        <v>794</v>
      </c>
      <c r="C426">
        <v>14</v>
      </c>
    </row>
    <row r="427" spans="1:3">
      <c r="A427" s="697">
        <v>539009</v>
      </c>
      <c r="B427" t="s">
        <v>794</v>
      </c>
      <c r="C427">
        <v>14</v>
      </c>
    </row>
    <row r="428" spans="1:3">
      <c r="A428" s="697">
        <v>539010</v>
      </c>
      <c r="B428" t="s">
        <v>794</v>
      </c>
      <c r="C428">
        <v>14</v>
      </c>
    </row>
    <row r="429" spans="1:3">
      <c r="A429" s="697">
        <v>539012</v>
      </c>
      <c r="B429" t="s">
        <v>794</v>
      </c>
      <c r="C429">
        <v>14</v>
      </c>
    </row>
    <row r="430" spans="1:3">
      <c r="A430" s="697">
        <v>541006</v>
      </c>
      <c r="B430" t="s">
        <v>794</v>
      </c>
      <c r="C430">
        <v>14</v>
      </c>
    </row>
    <row r="431" spans="1:3">
      <c r="A431" s="697">
        <v>545006</v>
      </c>
      <c r="B431" t="s">
        <v>794</v>
      </c>
      <c r="C431">
        <v>14</v>
      </c>
    </row>
    <row r="432" spans="1:3">
      <c r="A432" s="697">
        <v>101108</v>
      </c>
      <c r="B432" t="s">
        <v>795</v>
      </c>
      <c r="C432">
        <v>15</v>
      </c>
    </row>
    <row r="433" spans="1:3">
      <c r="A433" s="697">
        <v>101125</v>
      </c>
      <c r="B433" t="s">
        <v>795</v>
      </c>
      <c r="C433">
        <v>15</v>
      </c>
    </row>
    <row r="434" spans="1:3">
      <c r="A434" s="697">
        <v>101126</v>
      </c>
      <c r="B434" t="s">
        <v>795</v>
      </c>
      <c r="C434">
        <v>15</v>
      </c>
    </row>
    <row r="435" spans="1:3">
      <c r="A435" s="697">
        <v>101171</v>
      </c>
      <c r="B435" t="s">
        <v>795</v>
      </c>
      <c r="C435">
        <v>15</v>
      </c>
    </row>
    <row r="436" spans="1:3">
      <c r="A436" s="697">
        <v>147026</v>
      </c>
      <c r="B436" t="s">
        <v>795</v>
      </c>
      <c r="C436">
        <v>15</v>
      </c>
    </row>
    <row r="437" spans="1:3">
      <c r="A437" s="697">
        <v>147043</v>
      </c>
      <c r="B437" t="s">
        <v>795</v>
      </c>
      <c r="C437">
        <v>15</v>
      </c>
    </row>
    <row r="438" spans="1:3">
      <c r="A438" s="697">
        <v>153015</v>
      </c>
      <c r="B438" t="s">
        <v>795</v>
      </c>
      <c r="C438">
        <v>15</v>
      </c>
    </row>
    <row r="439" spans="1:3">
      <c r="A439" s="697">
        <v>157022</v>
      </c>
      <c r="B439" t="s">
        <v>795</v>
      </c>
      <c r="C439">
        <v>15</v>
      </c>
    </row>
    <row r="440" spans="1:3">
      <c r="A440" s="697">
        <v>157042</v>
      </c>
      <c r="B440" t="s">
        <v>795</v>
      </c>
      <c r="C440">
        <v>15</v>
      </c>
    </row>
    <row r="441" spans="1:3">
      <c r="A441" s="697">
        <v>159020</v>
      </c>
      <c r="B441" t="s">
        <v>795</v>
      </c>
      <c r="C441">
        <v>15</v>
      </c>
    </row>
    <row r="442" spans="1:3">
      <c r="A442" s="697">
        <v>207004</v>
      </c>
      <c r="B442" t="s">
        <v>795</v>
      </c>
      <c r="C442">
        <v>15</v>
      </c>
    </row>
    <row r="443" spans="1:3">
      <c r="A443" s="697">
        <v>227007</v>
      </c>
      <c r="B443" t="s">
        <v>795</v>
      </c>
      <c r="C443">
        <v>15</v>
      </c>
    </row>
    <row r="444" spans="1:3">
      <c r="A444" s="697">
        <v>280011</v>
      </c>
      <c r="B444" t="s">
        <v>795</v>
      </c>
      <c r="C444">
        <v>15</v>
      </c>
    </row>
    <row r="445" spans="1:3">
      <c r="A445" s="697">
        <v>280100</v>
      </c>
      <c r="B445" t="s">
        <v>795</v>
      </c>
      <c r="C445">
        <v>15</v>
      </c>
    </row>
    <row r="446" spans="1:3">
      <c r="A446" s="697">
        <v>280523</v>
      </c>
      <c r="B446" t="s">
        <v>795</v>
      </c>
      <c r="C446">
        <v>15</v>
      </c>
    </row>
    <row r="447" spans="1:3">
      <c r="A447" s="697">
        <v>280544</v>
      </c>
      <c r="B447" t="s">
        <v>795</v>
      </c>
      <c r="C447">
        <v>15</v>
      </c>
    </row>
    <row r="448" spans="1:3">
      <c r="A448" s="697">
        <v>280554</v>
      </c>
      <c r="B448" t="s">
        <v>795</v>
      </c>
      <c r="C448">
        <v>15</v>
      </c>
    </row>
    <row r="449" spans="1:3">
      <c r="A449" s="697">
        <v>373019</v>
      </c>
      <c r="B449" t="s">
        <v>795</v>
      </c>
      <c r="C449">
        <v>15</v>
      </c>
    </row>
    <row r="450" spans="1:3">
      <c r="A450" s="697">
        <v>525008</v>
      </c>
      <c r="B450" t="s">
        <v>795</v>
      </c>
      <c r="C450">
        <v>15</v>
      </c>
    </row>
    <row r="451" spans="1:3">
      <c r="A451" s="697">
        <v>545007</v>
      </c>
      <c r="B451" t="s">
        <v>795</v>
      </c>
      <c r="C451">
        <v>15</v>
      </c>
    </row>
    <row r="452" spans="1:3">
      <c r="A452" s="697">
        <v>667016</v>
      </c>
      <c r="B452" t="s">
        <v>795</v>
      </c>
      <c r="C452">
        <v>15</v>
      </c>
    </row>
    <row r="453" spans="1:3">
      <c r="A453" s="697">
        <v>851057</v>
      </c>
      <c r="B453" t="s">
        <v>795</v>
      </c>
      <c r="C453">
        <v>15</v>
      </c>
    </row>
    <row r="454" spans="1:3">
      <c r="A454" s="697">
        <v>101087</v>
      </c>
      <c r="B454" t="s">
        <v>727</v>
      </c>
      <c r="C454">
        <v>21</v>
      </c>
    </row>
    <row r="455" spans="1:3">
      <c r="A455" s="697">
        <v>101090</v>
      </c>
      <c r="B455" t="s">
        <v>727</v>
      </c>
      <c r="C455">
        <v>21</v>
      </c>
    </row>
    <row r="456" spans="1:3">
      <c r="A456" s="697">
        <v>101092</v>
      </c>
      <c r="B456" t="s">
        <v>727</v>
      </c>
      <c r="C456">
        <v>21</v>
      </c>
    </row>
    <row r="457" spans="1:3">
      <c r="A457" s="697">
        <v>101111</v>
      </c>
      <c r="B457" t="s">
        <v>727</v>
      </c>
      <c r="C457">
        <v>21</v>
      </c>
    </row>
    <row r="458" spans="1:3">
      <c r="A458" s="697">
        <v>101132</v>
      </c>
      <c r="B458" t="s">
        <v>727</v>
      </c>
      <c r="C458">
        <v>21</v>
      </c>
    </row>
    <row r="459" spans="1:3">
      <c r="A459" s="697">
        <v>101133</v>
      </c>
      <c r="B459" t="s">
        <v>727</v>
      </c>
      <c r="C459">
        <v>21</v>
      </c>
    </row>
    <row r="460" spans="1:3">
      <c r="A460" s="697">
        <v>101140</v>
      </c>
      <c r="B460" t="s">
        <v>727</v>
      </c>
      <c r="C460">
        <v>21</v>
      </c>
    </row>
    <row r="461" spans="1:3">
      <c r="A461" s="697">
        <v>101145</v>
      </c>
      <c r="B461" t="s">
        <v>727</v>
      </c>
      <c r="C461">
        <v>21</v>
      </c>
    </row>
    <row r="462" spans="1:3">
      <c r="A462" s="697">
        <v>101191</v>
      </c>
      <c r="B462" t="s">
        <v>727</v>
      </c>
      <c r="C462">
        <v>21</v>
      </c>
    </row>
    <row r="463" spans="1:3">
      <c r="A463" s="697">
        <v>101585</v>
      </c>
      <c r="B463" t="s">
        <v>727</v>
      </c>
      <c r="C463">
        <v>21</v>
      </c>
    </row>
    <row r="464" spans="1:3">
      <c r="A464" s="697">
        <v>151014</v>
      </c>
      <c r="B464" t="s">
        <v>727</v>
      </c>
      <c r="C464">
        <v>21</v>
      </c>
    </row>
    <row r="465" spans="1:3">
      <c r="A465" s="697">
        <v>151018</v>
      </c>
      <c r="B465" t="s">
        <v>727</v>
      </c>
      <c r="C465">
        <v>21</v>
      </c>
    </row>
    <row r="466" spans="1:3">
      <c r="A466" s="697">
        <v>159015</v>
      </c>
      <c r="B466" t="s">
        <v>727</v>
      </c>
      <c r="C466">
        <v>21</v>
      </c>
    </row>
    <row r="467" spans="1:3">
      <c r="A467" s="697">
        <v>159018</v>
      </c>
      <c r="B467" t="s">
        <v>727</v>
      </c>
      <c r="C467">
        <v>21</v>
      </c>
    </row>
    <row r="468" spans="1:3">
      <c r="A468" s="697">
        <v>165011</v>
      </c>
      <c r="B468" t="s">
        <v>727</v>
      </c>
      <c r="C468">
        <v>21</v>
      </c>
    </row>
    <row r="469" spans="1:3">
      <c r="A469" s="697">
        <v>181017</v>
      </c>
      <c r="B469" t="s">
        <v>727</v>
      </c>
      <c r="C469">
        <v>21</v>
      </c>
    </row>
    <row r="470" spans="1:3">
      <c r="A470" s="697">
        <v>208005</v>
      </c>
      <c r="B470" t="s">
        <v>727</v>
      </c>
      <c r="C470">
        <v>21</v>
      </c>
    </row>
    <row r="471" spans="1:3">
      <c r="A471" s="697">
        <v>215008</v>
      </c>
      <c r="B471" t="s">
        <v>727</v>
      </c>
      <c r="C471">
        <v>21</v>
      </c>
    </row>
    <row r="472" spans="1:3">
      <c r="A472" s="697">
        <v>217016</v>
      </c>
      <c r="B472" t="s">
        <v>727</v>
      </c>
      <c r="C472">
        <v>21</v>
      </c>
    </row>
    <row r="473" spans="1:3">
      <c r="A473" s="697">
        <v>219009</v>
      </c>
      <c r="B473" t="s">
        <v>727</v>
      </c>
      <c r="C473">
        <v>21</v>
      </c>
    </row>
    <row r="474" spans="1:3">
      <c r="A474" s="697">
        <v>219016</v>
      </c>
      <c r="B474" t="s">
        <v>727</v>
      </c>
      <c r="C474">
        <v>21</v>
      </c>
    </row>
    <row r="475" spans="1:3">
      <c r="A475" s="697">
        <v>221004</v>
      </c>
      <c r="B475" t="s">
        <v>727</v>
      </c>
      <c r="C475">
        <v>21</v>
      </c>
    </row>
    <row r="476" spans="1:3">
      <c r="A476" s="697">
        <v>223007</v>
      </c>
      <c r="B476" t="s">
        <v>727</v>
      </c>
      <c r="C476">
        <v>21</v>
      </c>
    </row>
    <row r="477" spans="1:3">
      <c r="A477" s="697">
        <v>301008</v>
      </c>
      <c r="B477" t="s">
        <v>727</v>
      </c>
      <c r="C477">
        <v>21</v>
      </c>
    </row>
    <row r="478" spans="1:3">
      <c r="A478" s="697">
        <v>301010</v>
      </c>
      <c r="B478" t="s">
        <v>727</v>
      </c>
      <c r="C478">
        <v>21</v>
      </c>
    </row>
    <row r="479" spans="1:3">
      <c r="A479" s="697">
        <v>400006</v>
      </c>
      <c r="B479" t="s">
        <v>727</v>
      </c>
      <c r="C479">
        <v>21</v>
      </c>
    </row>
    <row r="480" spans="1:3">
      <c r="A480" s="697">
        <v>280140</v>
      </c>
      <c r="B480" t="s">
        <v>727</v>
      </c>
      <c r="C480">
        <v>21</v>
      </c>
    </row>
    <row r="481" spans="1:3">
      <c r="A481" s="697">
        <v>253009</v>
      </c>
      <c r="B481" t="s">
        <v>727</v>
      </c>
      <c r="C481">
        <v>22</v>
      </c>
    </row>
    <row r="482" spans="1:3">
      <c r="A482" s="697">
        <v>255005</v>
      </c>
      <c r="B482" t="s">
        <v>727</v>
      </c>
      <c r="C482">
        <v>22</v>
      </c>
    </row>
    <row r="483" spans="1:3">
      <c r="A483" s="697">
        <v>259013</v>
      </c>
      <c r="B483" t="s">
        <v>727</v>
      </c>
      <c r="C483">
        <v>22</v>
      </c>
    </row>
    <row r="484" spans="1:3">
      <c r="A484" s="697">
        <v>313007</v>
      </c>
      <c r="B484" t="s">
        <v>727</v>
      </c>
      <c r="C484">
        <v>22</v>
      </c>
    </row>
    <row r="485" spans="1:3">
      <c r="A485" s="697">
        <v>315017</v>
      </c>
      <c r="B485" t="s">
        <v>727</v>
      </c>
      <c r="C485">
        <v>22</v>
      </c>
    </row>
    <row r="486" spans="1:3">
      <c r="A486" s="697">
        <v>321005</v>
      </c>
      <c r="B486" t="s">
        <v>727</v>
      </c>
      <c r="C486">
        <v>22</v>
      </c>
    </row>
    <row r="487" spans="1:3">
      <c r="A487" s="697">
        <v>327002</v>
      </c>
      <c r="B487" t="s">
        <v>727</v>
      </c>
      <c r="C487">
        <v>22</v>
      </c>
    </row>
    <row r="488" spans="1:3">
      <c r="A488" s="697">
        <v>359006</v>
      </c>
      <c r="B488" t="s">
        <v>727</v>
      </c>
      <c r="C488">
        <v>22</v>
      </c>
    </row>
    <row r="489" spans="1:3">
      <c r="A489" s="697">
        <v>373030</v>
      </c>
      <c r="B489" t="s">
        <v>727</v>
      </c>
      <c r="C489">
        <v>22</v>
      </c>
    </row>
    <row r="490" spans="1:3">
      <c r="A490" s="697">
        <v>280379</v>
      </c>
      <c r="B490" t="s">
        <v>727</v>
      </c>
      <c r="C490">
        <v>22</v>
      </c>
    </row>
    <row r="491" spans="1:3">
      <c r="A491" s="697">
        <v>280395</v>
      </c>
      <c r="B491" t="s">
        <v>727</v>
      </c>
      <c r="C491">
        <v>22</v>
      </c>
    </row>
    <row r="492" spans="1:3">
      <c r="A492" s="697">
        <v>439008</v>
      </c>
      <c r="B492" t="s">
        <v>727</v>
      </c>
      <c r="C492">
        <v>23</v>
      </c>
    </row>
    <row r="493" spans="1:3">
      <c r="A493" s="697">
        <v>461068</v>
      </c>
      <c r="B493" t="s">
        <v>727</v>
      </c>
      <c r="C493">
        <v>23</v>
      </c>
    </row>
    <row r="494" spans="1:3">
      <c r="A494" s="697">
        <v>535006</v>
      </c>
      <c r="B494" t="s">
        <v>727</v>
      </c>
      <c r="C494">
        <v>24</v>
      </c>
    </row>
    <row r="495" spans="1:3">
      <c r="A495" s="697">
        <v>701006</v>
      </c>
      <c r="B495" t="s">
        <v>727</v>
      </c>
      <c r="C495">
        <v>25</v>
      </c>
    </row>
    <row r="496" spans="1:3">
      <c r="A496" s="697">
        <v>703005</v>
      </c>
      <c r="B496" t="s">
        <v>727</v>
      </c>
      <c r="C496">
        <v>25</v>
      </c>
    </row>
    <row r="497" spans="1:3">
      <c r="A497" s="697">
        <v>707009</v>
      </c>
      <c r="B497" t="s">
        <v>727</v>
      </c>
      <c r="C497">
        <v>25</v>
      </c>
    </row>
    <row r="498" spans="1:3">
      <c r="A498" s="697">
        <v>707012</v>
      </c>
      <c r="B498" t="s">
        <v>727</v>
      </c>
      <c r="C498">
        <v>25</v>
      </c>
    </row>
    <row r="499" spans="1:3">
      <c r="A499" s="697">
        <v>731019</v>
      </c>
      <c r="B499" t="s">
        <v>727</v>
      </c>
      <c r="C499">
        <v>25</v>
      </c>
    </row>
    <row r="500" spans="1:3">
      <c r="A500" s="697">
        <v>737006</v>
      </c>
      <c r="B500" t="s">
        <v>727</v>
      </c>
      <c r="C500">
        <v>25</v>
      </c>
    </row>
    <row r="501" spans="1:3">
      <c r="A501" s="697">
        <v>741007</v>
      </c>
      <c r="B501" t="s">
        <v>727</v>
      </c>
      <c r="C501">
        <v>25</v>
      </c>
    </row>
    <row r="502" spans="1:3">
      <c r="A502" s="697">
        <v>751064</v>
      </c>
      <c r="B502" t="s">
        <v>727</v>
      </c>
      <c r="C502">
        <v>25</v>
      </c>
    </row>
    <row r="503" spans="1:3">
      <c r="A503" s="697">
        <v>751089</v>
      </c>
      <c r="B503" t="s">
        <v>727</v>
      </c>
      <c r="C503">
        <v>25</v>
      </c>
    </row>
    <row r="504" spans="1:3">
      <c r="A504" s="697">
        <v>791015</v>
      </c>
      <c r="B504" t="s">
        <v>727</v>
      </c>
      <c r="C504">
        <v>26</v>
      </c>
    </row>
    <row r="505" spans="1:3">
      <c r="A505" s="697">
        <v>841005</v>
      </c>
      <c r="B505" t="s">
        <v>727</v>
      </c>
      <c r="C505">
        <v>26</v>
      </c>
    </row>
    <row r="506" spans="1:3">
      <c r="A506" s="697">
        <v>851070</v>
      </c>
      <c r="B506" t="s">
        <v>727</v>
      </c>
      <c r="C506">
        <v>26</v>
      </c>
    </row>
    <row r="507" spans="1:3">
      <c r="A507" s="697">
        <v>280211</v>
      </c>
      <c r="B507" t="s">
        <v>727</v>
      </c>
      <c r="C507">
        <v>26</v>
      </c>
    </row>
    <row r="508" spans="1:3">
      <c r="A508" s="697">
        <v>101181</v>
      </c>
      <c r="B508" t="s">
        <v>725</v>
      </c>
    </row>
    <row r="509" spans="1:3">
      <c r="A509" s="697">
        <v>305019</v>
      </c>
      <c r="B509" t="s">
        <v>725</v>
      </c>
    </row>
    <row r="510" spans="1:3">
      <c r="A510" s="697">
        <v>473012</v>
      </c>
      <c r="B510" t="s">
        <v>725</v>
      </c>
    </row>
    <row r="511" spans="1:3">
      <c r="A511" s="697">
        <v>213010</v>
      </c>
      <c r="B511" t="s">
        <v>726</v>
      </c>
    </row>
    <row r="512" spans="1:3">
      <c r="A512" s="697">
        <v>315012</v>
      </c>
      <c r="B512" t="s">
        <v>726</v>
      </c>
    </row>
    <row r="513" spans="1:2">
      <c r="A513" s="697">
        <v>473014</v>
      </c>
      <c r="B513" t="s">
        <v>726</v>
      </c>
    </row>
    <row r="514" spans="1:2">
      <c r="A514" s="697">
        <v>721005</v>
      </c>
      <c r="B514" t="s">
        <v>726</v>
      </c>
    </row>
    <row r="515" spans="1:2">
      <c r="A515" s="697">
        <v>208009</v>
      </c>
      <c r="B515" t="s">
        <v>727</v>
      </c>
    </row>
    <row r="516" spans="1:2">
      <c r="A516" s="697">
        <v>213005</v>
      </c>
      <c r="B516" t="s">
        <v>727</v>
      </c>
    </row>
  </sheetData>
  <phoneticPr fontId="55" type="noConversion"/>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11.5" defaultRowHeight="13"/>
  <sheetData/>
  <phoneticPr fontId="55"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24</vt:i4>
      </vt:variant>
      <vt:variant>
        <vt:lpstr>Navngivne områder</vt:lpstr>
      </vt:variant>
      <vt:variant>
        <vt:i4>97</vt:i4>
      </vt:variant>
    </vt:vector>
  </HeadingPairs>
  <TitlesOfParts>
    <vt:vector size="121" baseType="lpstr">
      <vt:lpstr>Kvikvejledning</vt:lpstr>
      <vt:lpstr>Gode råd til check</vt:lpstr>
      <vt:lpstr>SatsBilag</vt:lpstr>
      <vt:lpstr>Forside</vt:lpstr>
      <vt:lpstr>Hovedskema</vt:lpstr>
      <vt:lpstr>Aarsnorm</vt:lpstr>
      <vt:lpstr>Statstilskud</vt:lpstr>
      <vt:lpstr>Skolepenge, pasningsordning.</vt:lpstr>
      <vt:lpstr>lon undervisning</vt:lpstr>
      <vt:lpstr>Lon pæd., TAP mm</vt:lpstr>
      <vt:lpstr>Undervisning-SFO udgifter</vt:lpstr>
      <vt:lpstr>Heltids SFO</vt:lpstr>
      <vt:lpstr>Daginstitution</vt:lpstr>
      <vt:lpstr>Ejendom</vt:lpstr>
      <vt:lpstr>Skolemadsordning</vt:lpstr>
      <vt:lpstr>Administration</vt:lpstr>
      <vt:lpstr>Prio-renter</vt:lpstr>
      <vt:lpstr>Resultat </vt:lpstr>
      <vt:lpstr>Grundlon</vt:lpstr>
      <vt:lpstr>Prognose</vt:lpstr>
      <vt:lpstr>Ark1</vt:lpstr>
      <vt:lpstr>H2.Aktuel år</vt:lpstr>
      <vt:lpstr>Ark2</vt:lpstr>
      <vt:lpstr>Ark3</vt:lpstr>
      <vt:lpstr>'Lon pæd., TAP mm'!_Udskriftsområde</vt:lpstr>
      <vt:lpstr>'lon undervisning'!_Udskriftsområde</vt:lpstr>
      <vt:lpstr>AER</vt:lpstr>
      <vt:lpstr>AER_1</vt:lpstr>
      <vt:lpstr>ATP</vt:lpstr>
      <vt:lpstr>ATP_1</vt:lpstr>
      <vt:lpstr>BarselBidr</vt:lpstr>
      <vt:lpstr>BarselBidr_1</vt:lpstr>
      <vt:lpstr>basistabel</vt:lpstr>
      <vt:lpstr>budgetår</vt:lpstr>
      <vt:lpstr>Bygtilsk</vt:lpstr>
      <vt:lpstr>Bygtilsk_1</vt:lpstr>
      <vt:lpstr>Da2sprTax</vt:lpstr>
      <vt:lpstr>Da2sprTax_1</vt:lpstr>
      <vt:lpstr>DFkont</vt:lpstr>
      <vt:lpstr>DFkont_1</vt:lpstr>
      <vt:lpstr>elev10kl</vt:lpstr>
      <vt:lpstr>elev10kl_1</vt:lpstr>
      <vt:lpstr>elev10kl_2</vt:lpstr>
      <vt:lpstr>elev10klfeb</vt:lpstr>
      <vt:lpstr>elev10klfeb_1</vt:lpstr>
      <vt:lpstr>elev10klfeb_2</vt:lpstr>
      <vt:lpstr>elevo13</vt:lpstr>
      <vt:lpstr>elevo13_1</vt:lpstr>
      <vt:lpstr>elevo13_2</vt:lpstr>
      <vt:lpstr>ELEVPROGNOSE</vt:lpstr>
      <vt:lpstr>Elevtal</vt:lpstr>
      <vt:lpstr>elevtal_1</vt:lpstr>
      <vt:lpstr>elevtal_2</vt:lpstr>
      <vt:lpstr>elevu13</vt:lpstr>
      <vt:lpstr>elevu13_1</vt:lpstr>
      <vt:lpstr>elevu13_2</vt:lpstr>
      <vt:lpstr>Grundlon!Export_file</vt:lpstr>
      <vt:lpstr>FaeUdgSmaa</vt:lpstr>
      <vt:lpstr>FaeUdgSmaa_1</vt:lpstr>
      <vt:lpstr>FaeUdgStore</vt:lpstr>
      <vt:lpstr>FaeUdgStore_1</vt:lpstr>
      <vt:lpstr>FlexBidr</vt:lpstr>
      <vt:lpstr>FlexBidr_1</vt:lpstr>
      <vt:lpstr>FlydTill</vt:lpstr>
      <vt:lpstr>FlydTill_1</vt:lpstr>
      <vt:lpstr>fremskrivning</vt:lpstr>
      <vt:lpstr>FremskrStatst</vt:lpstr>
      <vt:lpstr>FremskrStatst_1</vt:lpstr>
      <vt:lpstr>Gr.liv</vt:lpstr>
      <vt:lpstr>Gr.liv_1</vt:lpstr>
      <vt:lpstr>Gr.livAndre</vt:lpstr>
      <vt:lpstr>Gr.livAndre_1</vt:lpstr>
      <vt:lpstr>GrundTilsk</vt:lpstr>
      <vt:lpstr>Grundtilsk_1</vt:lpstr>
      <vt:lpstr>InklGrund</vt:lpstr>
      <vt:lpstr>InklGrund_1</vt:lpstr>
      <vt:lpstr>Lønfremskivning</vt:lpstr>
      <vt:lpstr>mellemsmå</vt:lpstr>
      <vt:lpstr>mellemstore</vt:lpstr>
      <vt:lpstr>omraadetabel</vt:lpstr>
      <vt:lpstr>PrakMedhTax</vt:lpstr>
      <vt:lpstr>PrakMedhTax_1</vt:lpstr>
      <vt:lpstr>Prc</vt:lpstr>
      <vt:lpstr>Prc_1</vt:lpstr>
      <vt:lpstr>PrcAar</vt:lpstr>
      <vt:lpstr>PrcAar_1</vt:lpstr>
      <vt:lpstr>region</vt:lpstr>
      <vt:lpstr>SFOtilsk</vt:lpstr>
      <vt:lpstr>SFOtilsk_1</vt:lpstr>
      <vt:lpstr>skalalontabel</vt:lpstr>
      <vt:lpstr>skole</vt:lpstr>
      <vt:lpstr>SatsBilag!skoleår</vt:lpstr>
      <vt:lpstr>SatsBilag!skoleår2</vt:lpstr>
      <vt:lpstr>sted</vt:lpstr>
      <vt:lpstr>stedomr</vt:lpstr>
      <vt:lpstr>stedtillægsområde</vt:lpstr>
      <vt:lpstr>Tilsyn1</vt:lpstr>
      <vt:lpstr>Tilsyn2</vt:lpstr>
      <vt:lpstr>Tilsyn3</vt:lpstr>
      <vt:lpstr>Tilsyn4</vt:lpstr>
      <vt:lpstr>Ejendom!Udskriftsområde</vt:lpstr>
      <vt:lpstr>Forside!Udskriftsområde</vt:lpstr>
      <vt:lpstr>'H2.Aktuel år'!Udskriftsområde</vt:lpstr>
      <vt:lpstr>Hovedskema!Udskriftsområde</vt:lpstr>
      <vt:lpstr>Kvikvejledning!Udskriftsområde</vt:lpstr>
      <vt:lpstr>'lon undervisning'!Udskriftsområde</vt:lpstr>
      <vt:lpstr>'Prio-renter'!Udskriftsområde</vt:lpstr>
      <vt:lpstr>Prognose!Udskriftsområde</vt:lpstr>
      <vt:lpstr>'Resultat '!Udskriftsområde</vt:lpstr>
      <vt:lpstr>SatsBilag!Udskriftsområde</vt:lpstr>
      <vt:lpstr>'Skolepenge, pasningsordning.'!Udskriftsområde</vt:lpstr>
      <vt:lpstr>Statstilskud!Udskriftsområde</vt:lpstr>
      <vt:lpstr>'Undervisning-SFO udgifter'!Udskriftsområde</vt:lpstr>
      <vt:lpstr>UvTax10kl</vt:lpstr>
      <vt:lpstr>UvTax10kl_1</vt:lpstr>
      <vt:lpstr>UvTaxO13</vt:lpstr>
      <vt:lpstr>UvTaxO13_1</vt:lpstr>
      <vt:lpstr>UvTaxU13</vt:lpstr>
      <vt:lpstr>UvTaxU13_1</vt:lpstr>
      <vt:lpstr>Vik.kas</vt:lpstr>
      <vt:lpstr>Vik.kas_1</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2024-2025</dc:title>
  <dc:subject/>
  <dc:creator>Tove Dohn</dc:creator>
  <cp:keywords/>
  <dc:description/>
  <cp:lastModifiedBy>Tove Dohn</cp:lastModifiedBy>
  <cp:lastPrinted>2023-09-15T13:27:47Z</cp:lastPrinted>
  <dcterms:created xsi:type="dcterms:W3CDTF">2010-02-07T12:40:03Z</dcterms:created>
  <dcterms:modified xsi:type="dcterms:W3CDTF">2024-02-22T15:44:27Z</dcterms:modified>
  <cp:category/>
</cp:coreProperties>
</file>